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MINISTRACION\CAJA DE JUBILACIONES\"/>
    </mc:Choice>
  </mc:AlternateContent>
  <bookViews>
    <workbookView xWindow="0" yWindow="0" windowWidth="20490" windowHeight="7155"/>
  </bookViews>
  <sheets>
    <sheet name="C. DE JUBILACIONES 2026" sheetId="1" r:id="rId1"/>
  </sheets>
  <definedNames>
    <definedName name="_xlnm.Print_Area" localSheetId="0">'C. DE JUBILACIONES 2026'!$A$1:$N$9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H16" i="1" l="1"/>
  <c r="G16" i="1"/>
  <c r="F6" i="1" l="1"/>
  <c r="K6" i="1" s="1"/>
  <c r="F7" i="1"/>
  <c r="K7" i="1" s="1"/>
  <c r="F8" i="1"/>
  <c r="K8" i="1" s="1"/>
  <c r="F9" i="1"/>
  <c r="K9" i="1" s="1"/>
  <c r="F10" i="1"/>
  <c r="K10" i="1" s="1"/>
  <c r="F11" i="1"/>
  <c r="K11" i="1" s="1"/>
  <c r="F12" i="1"/>
  <c r="K12" i="1" s="1"/>
  <c r="F13" i="1"/>
  <c r="K13" i="1" s="1"/>
  <c r="F14" i="1"/>
  <c r="K14" i="1" s="1"/>
  <c r="F15" i="1"/>
  <c r="K15" i="1" s="1"/>
  <c r="F5" i="1"/>
  <c r="K5" i="1" l="1"/>
  <c r="K16" i="1" s="1"/>
  <c r="J16" i="1"/>
  <c r="I16" i="1" l="1"/>
  <c r="K229" i="1" l="1"/>
  <c r="K31" i="1"/>
  <c r="K42" i="1" s="1"/>
  <c r="K53" i="1" s="1"/>
  <c r="K54" i="1" s="1"/>
  <c r="K65" i="1" s="1"/>
  <c r="K76" i="1" s="1"/>
  <c r="K77" i="1" s="1"/>
  <c r="K88" i="1" s="1"/>
  <c r="K104" i="1" s="1"/>
  <c r="K105" i="1" s="1"/>
  <c r="K116" i="1" s="1"/>
  <c r="K117" i="1" s="1"/>
  <c r="K128" i="1" s="1"/>
  <c r="K139" i="1" s="1"/>
  <c r="K150" i="1" s="1"/>
  <c r="K166" i="1" s="1"/>
  <c r="K167" i="1" s="1"/>
  <c r="K178" i="1" s="1"/>
  <c r="K190" i="1" s="1"/>
  <c r="K201" i="1" s="1"/>
  <c r="K217" i="1" s="1"/>
  <c r="K218" i="1" s="1"/>
  <c r="F31" i="1" l="1"/>
  <c r="E41" i="1" l="1"/>
  <c r="E40" i="1"/>
  <c r="E39" i="1"/>
  <c r="E38" i="1"/>
  <c r="E37" i="1"/>
  <c r="E36" i="1"/>
  <c r="E35" i="1"/>
  <c r="E34" i="1"/>
  <c r="E33" i="1"/>
  <c r="D41" i="1"/>
  <c r="D39" i="1"/>
  <c r="D37" i="1"/>
  <c r="D35" i="1"/>
  <c r="D33" i="1"/>
  <c r="D40" i="1"/>
  <c r="D38" i="1"/>
  <c r="D36" i="1"/>
  <c r="D34" i="1"/>
  <c r="E42" i="1" l="1"/>
  <c r="F42" i="1" s="1"/>
  <c r="D50" i="1" s="1"/>
  <c r="E47" i="1" l="1"/>
  <c r="E46" i="1"/>
  <c r="D47" i="1"/>
  <c r="E45" i="1"/>
  <c r="D51" i="1"/>
  <c r="E48" i="1"/>
  <c r="D48" i="1"/>
  <c r="E52" i="1"/>
  <c r="E49" i="1"/>
  <c r="D45" i="1"/>
  <c r="D52" i="1"/>
  <c r="B42" i="1"/>
  <c r="E44" i="1"/>
  <c r="D44" i="1"/>
  <c r="D49" i="1"/>
  <c r="C42" i="1"/>
  <c r="D42" i="1" s="1"/>
  <c r="E51" i="1"/>
  <c r="E50" i="1"/>
  <c r="D46" i="1"/>
  <c r="E53" i="1" l="1"/>
  <c r="F53" i="1" s="1"/>
  <c r="F54" i="1" s="1"/>
  <c r="C53" i="1" l="1"/>
  <c r="D53" i="1" s="1"/>
  <c r="B53" i="1"/>
  <c r="E75" i="1"/>
  <c r="E74" i="1"/>
  <c r="E73" i="1"/>
  <c r="E72" i="1"/>
  <c r="E71" i="1"/>
  <c r="E70" i="1"/>
  <c r="E69" i="1"/>
  <c r="E68" i="1"/>
  <c r="E67" i="1"/>
  <c r="D64" i="1"/>
  <c r="D63" i="1"/>
  <c r="D62" i="1"/>
  <c r="D61" i="1"/>
  <c r="D60" i="1"/>
  <c r="D59" i="1"/>
  <c r="D58" i="1"/>
  <c r="D57" i="1"/>
  <c r="D56" i="1"/>
  <c r="D74" i="1"/>
  <c r="D72" i="1"/>
  <c r="D70" i="1"/>
  <c r="D68" i="1"/>
  <c r="E64" i="1"/>
  <c r="E62" i="1"/>
  <c r="E60" i="1"/>
  <c r="E58" i="1"/>
  <c r="E56" i="1"/>
  <c r="D75" i="1"/>
  <c r="D73" i="1"/>
  <c r="D71" i="1"/>
  <c r="D69" i="1"/>
  <c r="D67" i="1"/>
  <c r="E63" i="1"/>
  <c r="E61" i="1"/>
  <c r="E59" i="1"/>
  <c r="E57" i="1"/>
  <c r="E65" i="1" l="1"/>
  <c r="E76" i="1"/>
  <c r="C76" i="1" l="1"/>
  <c r="D76" i="1" s="1"/>
  <c r="B76" i="1"/>
  <c r="B65" i="1"/>
  <c r="C65" i="1"/>
  <c r="D65" i="1" s="1"/>
  <c r="F65" i="1"/>
  <c r="F76" i="1" s="1"/>
  <c r="F77" i="1" s="1"/>
  <c r="D103" i="1" l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E87" i="1"/>
  <c r="E86" i="1"/>
  <c r="E85" i="1"/>
  <c r="E84" i="1"/>
  <c r="E83" i="1"/>
  <c r="E82" i="1"/>
  <c r="E81" i="1"/>
  <c r="E80" i="1"/>
  <c r="E79" i="1"/>
  <c r="E103" i="1"/>
  <c r="E101" i="1"/>
  <c r="E99" i="1"/>
  <c r="E97" i="1"/>
  <c r="E95" i="1"/>
  <c r="E93" i="1"/>
  <c r="E91" i="1"/>
  <c r="D86" i="1"/>
  <c r="D84" i="1"/>
  <c r="D82" i="1"/>
  <c r="D80" i="1"/>
  <c r="E102" i="1"/>
  <c r="E100" i="1"/>
  <c r="E98" i="1"/>
  <c r="E96" i="1"/>
  <c r="E94" i="1"/>
  <c r="E92" i="1"/>
  <c r="E90" i="1"/>
  <c r="D87" i="1"/>
  <c r="D85" i="1"/>
  <c r="D83" i="1"/>
  <c r="D81" i="1"/>
  <c r="D79" i="1"/>
  <c r="E104" i="1" l="1"/>
  <c r="B104" i="1" s="1"/>
  <c r="E88" i="1"/>
  <c r="C104" i="1" l="1"/>
  <c r="D104" i="1" s="1"/>
  <c r="C88" i="1"/>
  <c r="C105" i="1" s="1"/>
  <c r="B88" i="1"/>
  <c r="B105" i="1" s="1"/>
  <c r="F88" i="1"/>
  <c r="F104" i="1" s="1"/>
  <c r="F105" i="1" s="1"/>
  <c r="D88" i="1" l="1"/>
  <c r="D105" i="1" s="1"/>
  <c r="E115" i="1"/>
  <c r="E114" i="1"/>
  <c r="E113" i="1"/>
  <c r="E112" i="1"/>
  <c r="E111" i="1"/>
  <c r="E110" i="1"/>
  <c r="E109" i="1"/>
  <c r="E108" i="1"/>
  <c r="E107" i="1"/>
  <c r="D115" i="1"/>
  <c r="D114" i="1"/>
  <c r="D113" i="1"/>
  <c r="D112" i="1"/>
  <c r="D111" i="1"/>
  <c r="D110" i="1"/>
  <c r="D109" i="1"/>
  <c r="D108" i="1"/>
  <c r="D107" i="1"/>
  <c r="E116" i="1" l="1"/>
  <c r="F116" i="1" s="1"/>
  <c r="F117" i="1" s="1"/>
  <c r="D136" i="1" s="1"/>
  <c r="E135" i="1" l="1"/>
  <c r="E136" i="1"/>
  <c r="D122" i="1"/>
  <c r="E125" i="1"/>
  <c r="D123" i="1"/>
  <c r="E127" i="1"/>
  <c r="D138" i="1"/>
  <c r="B116" i="1"/>
  <c r="D127" i="1"/>
  <c r="E120" i="1"/>
  <c r="D133" i="1"/>
  <c r="C116" i="1"/>
  <c r="D116" i="1" s="1"/>
  <c r="E131" i="1"/>
  <c r="E121" i="1"/>
  <c r="D134" i="1"/>
  <c r="D119" i="1"/>
  <c r="D125" i="1"/>
  <c r="E132" i="1"/>
  <c r="E137" i="1"/>
  <c r="E123" i="1"/>
  <c r="D130" i="1"/>
  <c r="D135" i="1"/>
  <c r="D121" i="1"/>
  <c r="D126" i="1"/>
  <c r="E133" i="1"/>
  <c r="E119" i="1"/>
  <c r="E124" i="1"/>
  <c r="D131" i="1"/>
  <c r="D137" i="1"/>
  <c r="E105" i="1"/>
  <c r="D120" i="1"/>
  <c r="D124" i="1"/>
  <c r="E130" i="1"/>
  <c r="E134" i="1"/>
  <c r="E138" i="1"/>
  <c r="E122" i="1"/>
  <c r="E126" i="1"/>
  <c r="D132" i="1"/>
  <c r="E128" i="1" l="1"/>
  <c r="F128" i="1" s="1"/>
  <c r="E139" i="1"/>
  <c r="B139" i="1" s="1"/>
  <c r="F139" i="1" l="1"/>
  <c r="E163" i="1" s="1"/>
  <c r="C128" i="1"/>
  <c r="D128" i="1" s="1"/>
  <c r="B128" i="1"/>
  <c r="C139" i="1"/>
  <c r="D139" i="1" s="1"/>
  <c r="E165" i="1"/>
  <c r="D143" i="1"/>
  <c r="E149" i="1" l="1"/>
  <c r="D161" i="1"/>
  <c r="E154" i="1"/>
  <c r="D149" i="1"/>
  <c r="E143" i="1"/>
  <c r="D160" i="1"/>
  <c r="E160" i="1"/>
  <c r="D142" i="1"/>
  <c r="D147" i="1"/>
  <c r="D159" i="1"/>
  <c r="E142" i="1"/>
  <c r="E147" i="1"/>
  <c r="D158" i="1"/>
  <c r="E153" i="1"/>
  <c r="E158" i="1"/>
  <c r="E164" i="1"/>
  <c r="D145" i="1"/>
  <c r="D153" i="1"/>
  <c r="D163" i="1"/>
  <c r="E145" i="1"/>
  <c r="D152" i="1"/>
  <c r="D162" i="1"/>
  <c r="E156" i="1"/>
  <c r="E161" i="1"/>
  <c r="D141" i="1"/>
  <c r="D146" i="1"/>
  <c r="D155" i="1"/>
  <c r="E141" i="1"/>
  <c r="E146" i="1"/>
  <c r="D154" i="1"/>
  <c r="E152" i="1"/>
  <c r="E157" i="1"/>
  <c r="E162" i="1"/>
  <c r="D144" i="1"/>
  <c r="D148" i="1"/>
  <c r="D157" i="1"/>
  <c r="D165" i="1"/>
  <c r="E144" i="1"/>
  <c r="E148" i="1"/>
  <c r="D156" i="1"/>
  <c r="D164" i="1"/>
  <c r="E155" i="1"/>
  <c r="E159" i="1"/>
  <c r="E166" i="1" l="1"/>
  <c r="B166" i="1" s="1"/>
  <c r="E150" i="1"/>
  <c r="B150" i="1" s="1"/>
  <c r="D150" i="1" s="1"/>
  <c r="C166" i="1" l="1"/>
  <c r="D166" i="1" s="1"/>
  <c r="C150" i="1"/>
  <c r="F150" i="1"/>
  <c r="F166" i="1" s="1"/>
  <c r="F167" i="1" s="1"/>
  <c r="E175" i="1" s="1"/>
  <c r="D169" i="1" l="1"/>
  <c r="D176" i="1"/>
  <c r="D173" i="1"/>
  <c r="D177" i="1"/>
  <c r="E172" i="1"/>
  <c r="E176" i="1"/>
  <c r="D171" i="1"/>
  <c r="D170" i="1"/>
  <c r="E169" i="1"/>
  <c r="E173" i="1"/>
  <c r="E177" i="1"/>
  <c r="D172" i="1"/>
  <c r="E170" i="1"/>
  <c r="E174" i="1"/>
  <c r="D175" i="1"/>
  <c r="D174" i="1"/>
  <c r="E171" i="1"/>
  <c r="E178" i="1" l="1"/>
  <c r="C178" i="1" s="1"/>
  <c r="D178" i="1" s="1"/>
  <c r="B178" i="1" l="1"/>
  <c r="F178" i="1"/>
  <c r="D189" i="1" s="1"/>
  <c r="D188" i="1"/>
  <c r="D187" i="1"/>
  <c r="D186" i="1"/>
  <c r="D185" i="1"/>
  <c r="D184" i="1"/>
  <c r="D183" i="1"/>
  <c r="D182" i="1"/>
  <c r="D181" i="1"/>
  <c r="D180" i="1"/>
  <c r="E189" i="1"/>
  <c r="E187" i="1"/>
  <c r="E185" i="1"/>
  <c r="E183" i="1"/>
  <c r="E181" i="1"/>
  <c r="E188" i="1"/>
  <c r="E186" i="1"/>
  <c r="E184" i="1"/>
  <c r="E182" i="1"/>
  <c r="E180" i="1"/>
  <c r="E190" i="1" l="1"/>
  <c r="C190" i="1" s="1"/>
  <c r="B190" i="1" l="1"/>
  <c r="F190" i="1"/>
  <c r="D216" i="1" s="1"/>
  <c r="D190" i="1"/>
  <c r="E195" i="1"/>
  <c r="D200" i="1" l="1"/>
  <c r="D193" i="1"/>
  <c r="E194" i="1"/>
  <c r="D192" i="1"/>
  <c r="D199" i="1"/>
  <c r="E198" i="1"/>
  <c r="D194" i="1"/>
  <c r="E216" i="1"/>
  <c r="E199" i="1"/>
  <c r="D196" i="1"/>
  <c r="D195" i="1"/>
  <c r="E192" i="1"/>
  <c r="E196" i="1"/>
  <c r="E200" i="1"/>
  <c r="D198" i="1"/>
  <c r="D197" i="1"/>
  <c r="E193" i="1"/>
  <c r="E197" i="1"/>
  <c r="E201" i="1" l="1"/>
  <c r="F201" i="1" s="1"/>
  <c r="D226" i="1" s="1"/>
  <c r="D225" i="1" l="1"/>
  <c r="D228" i="1"/>
  <c r="D204" i="1"/>
  <c r="B201" i="1"/>
  <c r="D205" i="1"/>
  <c r="D207" i="1"/>
  <c r="D210" i="1"/>
  <c r="D209" i="1"/>
  <c r="D224" i="1"/>
  <c r="D223" i="1"/>
  <c r="D214" i="1"/>
  <c r="E225" i="1"/>
  <c r="C201" i="1"/>
  <c r="D201" i="1" s="1"/>
  <c r="E207" i="1"/>
  <c r="D203" i="1"/>
  <c r="E203" i="1"/>
  <c r="E228" i="1"/>
  <c r="E220" i="1"/>
  <c r="E209" i="1"/>
  <c r="D208" i="1"/>
  <c r="D227" i="1"/>
  <c r="E205" i="1"/>
  <c r="E214" i="1"/>
  <c r="D221" i="1"/>
  <c r="E212" i="1"/>
  <c r="E227" i="1"/>
  <c r="D220" i="1"/>
  <c r="E210" i="1"/>
  <c r="E226" i="1"/>
  <c r="D215" i="1"/>
  <c r="E208" i="1"/>
  <c r="E221" i="1"/>
  <c r="D222" i="1"/>
  <c r="D206" i="1"/>
  <c r="E224" i="1"/>
  <c r="D213" i="1"/>
  <c r="E204" i="1"/>
  <c r="E223" i="1"/>
  <c r="D212" i="1"/>
  <c r="E215" i="1"/>
  <c r="E222" i="1"/>
  <c r="D211" i="1"/>
  <c r="E213" i="1"/>
  <c r="E206" i="1"/>
  <c r="E211" i="1"/>
  <c r="E217" i="1" l="1"/>
  <c r="B217" i="1" s="1"/>
  <c r="E229" i="1"/>
  <c r="B229" i="1" s="1"/>
  <c r="B218" i="1" s="1"/>
  <c r="C217" i="1" l="1"/>
  <c r="D217" i="1" s="1"/>
  <c r="F229" i="1"/>
  <c r="F217" i="1"/>
  <c r="F218" i="1" s="1"/>
  <c r="C229" i="1"/>
  <c r="C218" i="1" l="1"/>
  <c r="D229" i="1"/>
  <c r="D218" i="1" s="1"/>
  <c r="E218" i="1" s="1"/>
  <c r="A230" i="1" s="1"/>
</calcChain>
</file>

<file path=xl/sharedStrings.xml><?xml version="1.0" encoding="utf-8"?>
<sst xmlns="http://schemas.openxmlformats.org/spreadsheetml/2006/main" count="118" uniqueCount="41">
  <si>
    <t>Nº</t>
  </si>
  <si>
    <t>Nombre y Apellido</t>
  </si>
  <si>
    <t>C. I. Nº</t>
  </si>
  <si>
    <t>Cargo</t>
  </si>
  <si>
    <t>Sueldo</t>
  </si>
  <si>
    <t>Credito</t>
  </si>
  <si>
    <t>Lourdes A. de Centurion</t>
  </si>
  <si>
    <t>Fabio R. Reckziegel</t>
  </si>
  <si>
    <t>Catastro</t>
  </si>
  <si>
    <t>Severiano  Mendoza</t>
  </si>
  <si>
    <t>Cesar Armando Baez</t>
  </si>
  <si>
    <t>Estela Britez de Armoa</t>
  </si>
  <si>
    <t>Juan Silvero</t>
  </si>
  <si>
    <t>Insp. Hacienda</t>
  </si>
  <si>
    <t>Walter Morinigo</t>
  </si>
  <si>
    <t>Formula de Converción de Nº a Letra</t>
  </si>
  <si>
    <t>Escala</t>
  </si>
  <si>
    <t>Conv. Letra</t>
  </si>
  <si>
    <t>Conv. Nº</t>
  </si>
  <si>
    <t>Sobra</t>
  </si>
  <si>
    <t>Lidia Melgarejo</t>
  </si>
  <si>
    <t>Hector Alcides Villalba Ortiz</t>
  </si>
  <si>
    <t xml:space="preserve">CAJA DE JUBILACIONES </t>
  </si>
  <si>
    <t>Aporte funcionario 10%</t>
  </si>
  <si>
    <t>Aporte Municipalidad 10%</t>
  </si>
  <si>
    <t>Aumento</t>
  </si>
  <si>
    <t>Isidor Saatkamp</t>
  </si>
  <si>
    <t>Total</t>
  </si>
  <si>
    <t>Secretaria de Educacion</t>
  </si>
  <si>
    <t>Alejo Centurion</t>
  </si>
  <si>
    <t>Dpto. de Obras</t>
  </si>
  <si>
    <t>Aporte funcionario 5%</t>
  </si>
  <si>
    <t>Enc. de Deposito Municipal</t>
  </si>
  <si>
    <t>Aporte 1/12</t>
  </si>
  <si>
    <t>Sria. Intendencia Municipal</t>
  </si>
  <si>
    <t>Secretario de Cultura y Arte</t>
  </si>
  <si>
    <t>Inspector de Transito</t>
  </si>
  <si>
    <t>Tesorero</t>
  </si>
  <si>
    <t>Enc. Accion Social</t>
  </si>
  <si>
    <t xml:space="preserve"> </t>
  </si>
  <si>
    <r>
      <t>Correspondiente al mes de:</t>
    </r>
    <r>
      <rPr>
        <b/>
        <sz val="12"/>
        <color rgb="FFFF0000"/>
        <rFont val="Calibri"/>
        <family val="2"/>
        <scheme val="minor"/>
      </rPr>
      <t xml:space="preserve"> ENERO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</si>
</sst>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0" fillId="3" borderId="0" xfId="0" applyFill="1" applyAlignment="1">
      <alignment vertical="center"/>
    </xf>
    <xf numFmtId="0" fontId="2" fillId="0" borderId="0" xfId="0" applyFont="1"/>
    <xf numFmtId="166" fontId="2" fillId="0" borderId="0" xfId="1" applyNumberFormat="1" applyFont="1"/>
    <xf numFmtId="166" fontId="0" fillId="0" borderId="0" xfId="1" applyNumberFormat="1" applyFont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166" fontId="0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6" fontId="0" fillId="0" borderId="9" xfId="1" applyNumberFormat="1" applyFont="1" applyBorder="1" applyAlignment="1">
      <alignment horizontal="center"/>
    </xf>
    <xf numFmtId="166" fontId="0" fillId="0" borderId="10" xfId="1" applyNumberFormat="1" applyFont="1" applyBorder="1" applyAlignment="1">
      <alignment horizontal="center"/>
    </xf>
    <xf numFmtId="0" fontId="0" fillId="0" borderId="6" xfId="0" applyBorder="1"/>
    <xf numFmtId="0" fontId="0" fillId="0" borderId="0" xfId="0" applyBorder="1"/>
    <xf numFmtId="166" fontId="0" fillId="0" borderId="0" xfId="1" applyNumberFormat="1" applyFont="1" applyBorder="1"/>
    <xf numFmtId="0" fontId="0" fillId="0" borderId="0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164" fontId="0" fillId="0" borderId="0" xfId="0" applyNumberFormat="1"/>
    <xf numFmtId="0" fontId="4" fillId="3" borderId="0" xfId="0" applyFont="1" applyFill="1" applyAlignment="1">
      <alignment vertical="center"/>
    </xf>
    <xf numFmtId="0" fontId="7" fillId="3" borderId="2" xfId="0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vertical="center"/>
    </xf>
    <xf numFmtId="166" fontId="7" fillId="3" borderId="2" xfId="1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vertical="center"/>
    </xf>
    <xf numFmtId="166" fontId="9" fillId="3" borderId="2" xfId="1" applyNumberFormat="1" applyFont="1" applyFill="1" applyBorder="1" applyAlignment="1">
      <alignment vertical="center"/>
    </xf>
    <xf numFmtId="0" fontId="8" fillId="2" borderId="2" xfId="0" applyFont="1" applyFill="1" applyBorder="1" applyAlignment="1"/>
    <xf numFmtId="166" fontId="8" fillId="2" borderId="2" xfId="1" applyNumberFormat="1" applyFont="1" applyFill="1" applyBorder="1" applyAlignment="1"/>
    <xf numFmtId="0" fontId="7" fillId="0" borderId="2" xfId="0" applyFont="1" applyBorder="1"/>
    <xf numFmtId="0" fontId="8" fillId="2" borderId="16" xfId="0" applyFont="1" applyFill="1" applyBorder="1" applyAlignment="1"/>
    <xf numFmtId="0" fontId="7" fillId="0" borderId="17" xfId="0" applyFont="1" applyBorder="1"/>
    <xf numFmtId="0" fontId="8" fillId="3" borderId="16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0" fontId="9" fillId="3" borderId="18" xfId="0" applyFont="1" applyFill="1" applyBorder="1" applyAlignment="1">
      <alignment vertical="center"/>
    </xf>
    <xf numFmtId="166" fontId="9" fillId="3" borderId="18" xfId="0" applyNumberFormat="1" applyFont="1" applyFill="1" applyBorder="1" applyAlignment="1">
      <alignment vertical="center"/>
    </xf>
    <xf numFmtId="0" fontId="9" fillId="3" borderId="19" xfId="0" applyFont="1" applyFill="1" applyBorder="1" applyAlignment="1">
      <alignment vertical="center"/>
    </xf>
    <xf numFmtId="166" fontId="9" fillId="3" borderId="0" xfId="0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3" fontId="9" fillId="3" borderId="2" xfId="1" applyNumberFormat="1" applyFont="1" applyFill="1" applyBorder="1" applyAlignment="1">
      <alignment vertical="center"/>
    </xf>
    <xf numFmtId="166" fontId="8" fillId="2" borderId="2" xfId="1" applyNumberFormat="1" applyFont="1" applyFill="1" applyBorder="1" applyAlignment="1">
      <alignment horizontal="left"/>
    </xf>
    <xf numFmtId="166" fontId="7" fillId="3" borderId="2" xfId="1" applyNumberFormat="1" applyFont="1" applyFill="1" applyBorder="1" applyAlignment="1">
      <alignment horizontal="center" vertical="center"/>
    </xf>
    <xf numFmtId="0" fontId="5" fillId="0" borderId="2" xfId="0" applyFont="1" applyBorder="1" applyAlignment="1"/>
    <xf numFmtId="166" fontId="5" fillId="0" borderId="2" xfId="1" applyNumberFormat="1" applyFont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812800</xdr:colOff>
      <xdr:row>0</xdr:row>
      <xdr:rowOff>1248833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51000" cy="124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1981200</xdr:colOff>
      <xdr:row>22</xdr:row>
      <xdr:rowOff>1727200</xdr:rowOff>
    </xdr:from>
    <xdr:to>
      <xdr:col>10</xdr:col>
      <xdr:colOff>349250</xdr:colOff>
      <xdr:row>22</xdr:row>
      <xdr:rowOff>2891366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700" y="9499600"/>
          <a:ext cx="11461750" cy="1164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1"/>
  <sheetViews>
    <sheetView tabSelected="1" zoomScale="75" workbookViewId="0">
      <selection activeCell="A3" sqref="A3:O3"/>
    </sheetView>
  </sheetViews>
  <sheetFormatPr baseColWidth="10" defaultRowHeight="12.75" x14ac:dyDescent="0.2"/>
  <cols>
    <col min="1" max="1" width="6.5703125" customWidth="1"/>
    <col min="2" max="2" width="29.85546875" customWidth="1"/>
    <col min="3" max="3" width="11.5703125" customWidth="1"/>
    <col min="4" max="4" width="31.85546875" customWidth="1"/>
    <col min="5" max="5" width="15.28515625" style="4" customWidth="1"/>
    <col min="6" max="8" width="23.5703125" style="4" customWidth="1"/>
    <col min="9" max="9" width="17.7109375" style="4" customWidth="1"/>
    <col min="10" max="10" width="19.140625" style="4" customWidth="1"/>
    <col min="11" max="11" width="26.28515625" style="4" customWidth="1"/>
    <col min="12" max="12" width="0.5703125" style="4" customWidth="1"/>
    <col min="13" max="13" width="15.140625" style="4" hidden="1" customWidth="1"/>
    <col min="14" max="14" width="13.28515625" style="4" hidden="1" customWidth="1"/>
    <col min="15" max="15" width="23.140625" hidden="1" customWidth="1"/>
    <col min="16" max="16" width="14.42578125" customWidth="1"/>
  </cols>
  <sheetData>
    <row r="1" spans="1:15" ht="102" customHeight="1" thickBot="1" x14ac:dyDescent="0.3">
      <c r="A1" s="53" t="s">
        <v>39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46.15" customHeight="1" x14ac:dyDescent="0.35">
      <c r="A2" s="54" t="s">
        <v>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1:15" ht="31.5" customHeight="1" x14ac:dyDescent="0.25">
      <c r="A3" s="57" t="s">
        <v>40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</row>
    <row r="4" spans="1:15" ht="15.75" x14ac:dyDescent="0.25">
      <c r="A4" s="30" t="s">
        <v>0</v>
      </c>
      <c r="B4" s="27" t="s">
        <v>1</v>
      </c>
      <c r="C4" s="27" t="s">
        <v>2</v>
      </c>
      <c r="D4" s="27" t="s">
        <v>3</v>
      </c>
      <c r="E4" s="28" t="s">
        <v>4</v>
      </c>
      <c r="F4" s="28" t="s">
        <v>23</v>
      </c>
      <c r="G4" s="28" t="s">
        <v>31</v>
      </c>
      <c r="H4" s="28" t="s">
        <v>25</v>
      </c>
      <c r="I4" s="43" t="s">
        <v>33</v>
      </c>
      <c r="J4" s="28" t="s">
        <v>5</v>
      </c>
      <c r="K4" s="28" t="s">
        <v>24</v>
      </c>
      <c r="L4" s="29"/>
      <c r="M4" s="29"/>
      <c r="N4" s="29"/>
      <c r="O4" s="31"/>
    </row>
    <row r="5" spans="1:15" s="1" customFormat="1" ht="24.75" customHeight="1" x14ac:dyDescent="0.2">
      <c r="A5" s="32">
        <v>1</v>
      </c>
      <c r="B5" s="20" t="s">
        <v>6</v>
      </c>
      <c r="C5" s="21">
        <v>1169683</v>
      </c>
      <c r="D5" s="20" t="s">
        <v>28</v>
      </c>
      <c r="E5" s="22">
        <v>3561524</v>
      </c>
      <c r="F5" s="22">
        <f>ROUND((E5*0.1),0)</f>
        <v>356152</v>
      </c>
      <c r="G5" s="22">
        <v>0</v>
      </c>
      <c r="H5" s="22">
        <v>150000</v>
      </c>
      <c r="I5" s="22">
        <v>0</v>
      </c>
      <c r="J5" s="22">
        <v>0</v>
      </c>
      <c r="K5" s="44">
        <f t="shared" ref="K5:K15" si="0">F5</f>
        <v>356152</v>
      </c>
      <c r="L5" s="20"/>
      <c r="M5" s="20"/>
      <c r="N5" s="20"/>
      <c r="O5" s="33"/>
    </row>
    <row r="6" spans="1:15" s="1" customFormat="1" ht="26.1" customHeight="1" x14ac:dyDescent="0.2">
      <c r="A6" s="32">
        <v>2</v>
      </c>
      <c r="B6" s="20" t="s">
        <v>7</v>
      </c>
      <c r="C6" s="21">
        <v>1365892</v>
      </c>
      <c r="D6" s="20" t="s">
        <v>8</v>
      </c>
      <c r="E6" s="22">
        <v>4561524</v>
      </c>
      <c r="F6" s="22">
        <f t="shared" ref="F6:F15" si="1">ROUND((E6*0.1),0)</f>
        <v>456152</v>
      </c>
      <c r="G6" s="22">
        <v>0</v>
      </c>
      <c r="H6" s="22">
        <v>150000</v>
      </c>
      <c r="I6" s="22">
        <v>0</v>
      </c>
      <c r="J6" s="22">
        <v>0</v>
      </c>
      <c r="K6" s="44">
        <f t="shared" si="0"/>
        <v>456152</v>
      </c>
      <c r="L6" s="20"/>
      <c r="M6" s="20"/>
      <c r="N6" s="20"/>
      <c r="O6" s="33"/>
    </row>
    <row r="7" spans="1:15" s="1" customFormat="1" ht="25.5" customHeight="1" x14ac:dyDescent="0.2">
      <c r="A7" s="32">
        <v>3</v>
      </c>
      <c r="B7" s="20" t="s">
        <v>9</v>
      </c>
      <c r="C7" s="21">
        <v>1365864</v>
      </c>
      <c r="D7" s="20" t="s">
        <v>36</v>
      </c>
      <c r="E7" s="22">
        <v>2899048</v>
      </c>
      <c r="F7" s="22">
        <f t="shared" si="1"/>
        <v>289905</v>
      </c>
      <c r="G7" s="22">
        <v>0</v>
      </c>
      <c r="H7" s="22">
        <v>100739</v>
      </c>
      <c r="I7" s="22">
        <v>0</v>
      </c>
      <c r="J7" s="22">
        <v>0</v>
      </c>
      <c r="K7" s="44">
        <f t="shared" si="0"/>
        <v>289905</v>
      </c>
      <c r="L7" s="20"/>
      <c r="M7" s="20"/>
      <c r="N7" s="20"/>
      <c r="O7" s="33"/>
    </row>
    <row r="8" spans="1:15" s="1" customFormat="1" ht="26.1" customHeight="1" x14ac:dyDescent="0.2">
      <c r="A8" s="32">
        <v>4</v>
      </c>
      <c r="B8" s="20" t="s">
        <v>10</v>
      </c>
      <c r="C8" s="21">
        <v>5169701</v>
      </c>
      <c r="D8" s="23" t="s">
        <v>37</v>
      </c>
      <c r="E8" s="22">
        <v>4750000</v>
      </c>
      <c r="F8" s="22">
        <f t="shared" si="1"/>
        <v>475000</v>
      </c>
      <c r="G8" s="22">
        <v>0</v>
      </c>
      <c r="H8" s="22">
        <v>150000</v>
      </c>
      <c r="I8" s="22">
        <v>0</v>
      </c>
      <c r="J8" s="22">
        <v>0</v>
      </c>
      <c r="K8" s="44">
        <f t="shared" si="0"/>
        <v>475000</v>
      </c>
      <c r="L8" s="20"/>
      <c r="M8" s="20"/>
      <c r="N8" s="20"/>
      <c r="O8" s="33"/>
    </row>
    <row r="9" spans="1:15" s="1" customFormat="1" ht="25.5" customHeight="1" x14ac:dyDescent="0.2">
      <c r="A9" s="32">
        <v>5</v>
      </c>
      <c r="B9" s="20" t="s">
        <v>11</v>
      </c>
      <c r="C9" s="21">
        <v>1589901</v>
      </c>
      <c r="D9" s="23" t="s">
        <v>38</v>
      </c>
      <c r="E9" s="22">
        <v>2899048</v>
      </c>
      <c r="F9" s="22">
        <f t="shared" si="1"/>
        <v>289905</v>
      </c>
      <c r="G9" s="22">
        <v>0</v>
      </c>
      <c r="H9" s="22">
        <v>62417</v>
      </c>
      <c r="I9" s="22">
        <v>0</v>
      </c>
      <c r="J9" s="22">
        <v>0</v>
      </c>
      <c r="K9" s="44">
        <f t="shared" si="0"/>
        <v>289905</v>
      </c>
      <c r="L9" s="20"/>
      <c r="M9" s="20"/>
      <c r="N9" s="20"/>
      <c r="O9" s="33"/>
    </row>
    <row r="10" spans="1:15" s="1" customFormat="1" ht="25.5" customHeight="1" x14ac:dyDescent="0.2">
      <c r="A10" s="32">
        <v>6</v>
      </c>
      <c r="B10" s="20" t="s">
        <v>12</v>
      </c>
      <c r="C10" s="21">
        <v>2534100</v>
      </c>
      <c r="D10" s="20" t="s">
        <v>13</v>
      </c>
      <c r="E10" s="22">
        <v>2899048</v>
      </c>
      <c r="F10" s="22">
        <f t="shared" si="1"/>
        <v>289905</v>
      </c>
      <c r="G10" s="22">
        <v>0</v>
      </c>
      <c r="H10" s="22">
        <v>100739</v>
      </c>
      <c r="I10" s="22">
        <v>0</v>
      </c>
      <c r="J10" s="22">
        <v>0</v>
      </c>
      <c r="K10" s="44">
        <f t="shared" si="0"/>
        <v>289905</v>
      </c>
      <c r="L10" s="20"/>
      <c r="M10" s="20"/>
      <c r="N10" s="20"/>
      <c r="O10" s="33"/>
    </row>
    <row r="11" spans="1:15" s="1" customFormat="1" ht="26.1" customHeight="1" x14ac:dyDescent="0.2">
      <c r="A11" s="32">
        <v>7</v>
      </c>
      <c r="B11" s="20" t="s">
        <v>14</v>
      </c>
      <c r="C11" s="21">
        <v>2564370</v>
      </c>
      <c r="D11" s="20" t="s">
        <v>36</v>
      </c>
      <c r="E11" s="22">
        <v>3250000</v>
      </c>
      <c r="F11" s="22">
        <f t="shared" si="1"/>
        <v>325000</v>
      </c>
      <c r="G11" s="22">
        <v>0</v>
      </c>
      <c r="H11" s="22">
        <v>150000</v>
      </c>
      <c r="I11" s="22">
        <v>0</v>
      </c>
      <c r="J11" s="22">
        <v>0</v>
      </c>
      <c r="K11" s="44">
        <f t="shared" si="0"/>
        <v>325000</v>
      </c>
      <c r="L11" s="20"/>
      <c r="M11" s="20"/>
      <c r="N11" s="20"/>
      <c r="O11" s="33"/>
    </row>
    <row r="12" spans="1:15" s="19" customFormat="1" ht="26.1" customHeight="1" x14ac:dyDescent="0.2">
      <c r="A12" s="32">
        <v>8</v>
      </c>
      <c r="B12" s="24" t="s">
        <v>20</v>
      </c>
      <c r="C12" s="25">
        <v>3011938</v>
      </c>
      <c r="D12" s="24" t="s">
        <v>34</v>
      </c>
      <c r="E12" s="26">
        <v>3950000</v>
      </c>
      <c r="F12" s="22">
        <f t="shared" si="1"/>
        <v>395000</v>
      </c>
      <c r="G12" s="26">
        <v>0</v>
      </c>
      <c r="H12" s="22">
        <v>150000</v>
      </c>
      <c r="I12" s="26">
        <v>0</v>
      </c>
      <c r="J12" s="26">
        <v>0</v>
      </c>
      <c r="K12" s="44">
        <f t="shared" si="0"/>
        <v>395000</v>
      </c>
      <c r="L12" s="24"/>
      <c r="M12" s="24"/>
      <c r="N12" s="24"/>
      <c r="O12" s="34"/>
    </row>
    <row r="13" spans="1:15" s="19" customFormat="1" ht="26.1" customHeight="1" thickBot="1" x14ac:dyDescent="0.25">
      <c r="A13" s="32">
        <v>9</v>
      </c>
      <c r="B13" s="24" t="s">
        <v>21</v>
      </c>
      <c r="C13" s="25">
        <v>3939891</v>
      </c>
      <c r="D13" s="24" t="s">
        <v>30</v>
      </c>
      <c r="E13" s="42">
        <v>3400000</v>
      </c>
      <c r="F13" s="22">
        <f t="shared" si="1"/>
        <v>340000</v>
      </c>
      <c r="G13" s="26">
        <v>0</v>
      </c>
      <c r="H13" s="26">
        <v>150000</v>
      </c>
      <c r="I13" s="26">
        <v>0</v>
      </c>
      <c r="J13" s="26">
        <v>0</v>
      </c>
      <c r="K13" s="44">
        <f t="shared" si="0"/>
        <v>340000</v>
      </c>
      <c r="L13" s="36"/>
      <c r="M13" s="35"/>
      <c r="N13" s="35"/>
      <c r="O13" s="37"/>
    </row>
    <row r="14" spans="1:15" s="19" customFormat="1" ht="26.1" customHeight="1" x14ac:dyDescent="0.2">
      <c r="A14" s="32">
        <v>10</v>
      </c>
      <c r="B14" s="24" t="s">
        <v>26</v>
      </c>
      <c r="C14" s="25">
        <v>1624495</v>
      </c>
      <c r="D14" s="24" t="s">
        <v>32</v>
      </c>
      <c r="E14" s="42">
        <v>3550000</v>
      </c>
      <c r="F14" s="22">
        <f t="shared" si="1"/>
        <v>355000</v>
      </c>
      <c r="G14" s="26">
        <v>0</v>
      </c>
      <c r="H14" s="26">
        <v>150000</v>
      </c>
      <c r="I14" s="26">
        <v>0</v>
      </c>
      <c r="J14" s="26">
        <v>0</v>
      </c>
      <c r="K14" s="44">
        <f t="shared" si="0"/>
        <v>355000</v>
      </c>
      <c r="L14" s="38"/>
      <c r="M14" s="39"/>
      <c r="N14" s="39"/>
      <c r="O14" s="39"/>
    </row>
    <row r="15" spans="1:15" s="19" customFormat="1" ht="26.1" customHeight="1" x14ac:dyDescent="0.2">
      <c r="A15" s="32">
        <v>11</v>
      </c>
      <c r="B15" s="24" t="s">
        <v>29</v>
      </c>
      <c r="C15" s="25">
        <v>1155762</v>
      </c>
      <c r="D15" s="24" t="s">
        <v>35</v>
      </c>
      <c r="E15" s="42">
        <v>4740051</v>
      </c>
      <c r="F15" s="22">
        <f t="shared" si="1"/>
        <v>474005</v>
      </c>
      <c r="G15" s="42">
        <v>229503</v>
      </c>
      <c r="H15" s="26">
        <v>150000</v>
      </c>
      <c r="I15" s="26">
        <v>0</v>
      </c>
      <c r="J15" s="26">
        <v>0</v>
      </c>
      <c r="K15" s="44">
        <f t="shared" si="0"/>
        <v>474005</v>
      </c>
      <c r="L15" s="38"/>
      <c r="M15" s="39"/>
      <c r="N15" s="39"/>
      <c r="O15" s="39"/>
    </row>
    <row r="16" spans="1:15" ht="27.6" customHeight="1" x14ac:dyDescent="0.25">
      <c r="A16" s="60" t="s">
        <v>27</v>
      </c>
      <c r="B16" s="60"/>
      <c r="C16" s="60"/>
      <c r="D16" s="60"/>
      <c r="E16" s="45"/>
      <c r="F16" s="46">
        <f>SUM(F5:F15)</f>
        <v>4046024</v>
      </c>
      <c r="G16" s="46">
        <f>SUM(G5:G15)</f>
        <v>229503</v>
      </c>
      <c r="H16" s="46">
        <f>SUM(H5:H15)</f>
        <v>1463895</v>
      </c>
      <c r="I16" s="46">
        <f t="shared" ref="I16" si="2">SUM(I5:I15)</f>
        <v>0</v>
      </c>
      <c r="J16" s="46">
        <f>SUM(J5:J15)</f>
        <v>0</v>
      </c>
      <c r="K16" s="46">
        <f>SUM(K5:K15)</f>
        <v>4046024</v>
      </c>
      <c r="L16" s="3"/>
      <c r="M16" s="3"/>
      <c r="N16" s="3"/>
      <c r="O16" s="2"/>
    </row>
    <row r="17" spans="1:15" x14ac:dyDescent="0.2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3"/>
      <c r="M17" s="3"/>
      <c r="N17" s="3"/>
      <c r="O17" s="2"/>
    </row>
    <row r="18" spans="1:15" x14ac:dyDescent="0.2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</row>
    <row r="19" spans="1:15" x14ac:dyDescent="0.2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</row>
    <row r="20" spans="1:15" x14ac:dyDescent="0.2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pans="1:15" x14ac:dyDescent="0.2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5" x14ac:dyDescent="0.2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pans="1:15" ht="243" customHeight="1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9" spans="1:15" ht="13.5" thickBot="1" x14ac:dyDescent="0.25"/>
    <row r="30" spans="1:15" ht="12" customHeight="1" x14ac:dyDescent="0.2">
      <c r="A30" s="47" t="s">
        <v>15</v>
      </c>
      <c r="B30" s="48"/>
      <c r="C30" s="48"/>
      <c r="D30" s="48"/>
      <c r="E30" s="48"/>
      <c r="F30" s="49"/>
      <c r="G30" s="40"/>
      <c r="H30" s="40"/>
      <c r="I30" s="40"/>
      <c r="J30" s="40"/>
    </row>
    <row r="31" spans="1:15" ht="12" customHeight="1" x14ac:dyDescent="0.2">
      <c r="A31" s="5"/>
      <c r="B31" s="6"/>
      <c r="C31" s="6"/>
      <c r="D31" s="6"/>
      <c r="E31" s="7"/>
      <c r="F31" s="8" t="e">
        <f>#REF!</f>
        <v>#REF!</v>
      </c>
      <c r="G31" s="8"/>
      <c r="H31" s="8"/>
      <c r="I31" s="8"/>
      <c r="J31" s="8"/>
      <c r="K31" s="8" t="e">
        <f>#REF!</f>
        <v>#REF!</v>
      </c>
    </row>
    <row r="32" spans="1:15" ht="12" hidden="1" customHeight="1" x14ac:dyDescent="0.2">
      <c r="A32" s="5" t="s">
        <v>16</v>
      </c>
      <c r="B32" s="6"/>
      <c r="C32" s="6"/>
      <c r="D32" s="6" t="s">
        <v>17</v>
      </c>
      <c r="E32" s="7" t="s">
        <v>18</v>
      </c>
      <c r="F32" s="8" t="s">
        <v>19</v>
      </c>
      <c r="G32" s="8"/>
      <c r="H32" s="8"/>
      <c r="I32" s="8"/>
      <c r="J32" s="8"/>
      <c r="K32" s="8" t="s">
        <v>19</v>
      </c>
    </row>
    <row r="33" spans="1:11" ht="12" hidden="1" customHeight="1" x14ac:dyDescent="0.2">
      <c r="A33" s="5">
        <v>9000</v>
      </c>
      <c r="B33" s="6"/>
      <c r="C33" s="6"/>
      <c r="D33" s="6" t="e">
        <f>IF(AND(9001000000&lt;=F31,F31&lt;=9999999999),"nueve mil ",0)</f>
        <v>#REF!</v>
      </c>
      <c r="E33" s="7" t="e">
        <f>IF(AND(9001000000&lt;=F31,F31&lt;=9999999999),9000000000,0)</f>
        <v>#REF!</v>
      </c>
      <c r="F33" s="8"/>
      <c r="G33" s="8"/>
      <c r="H33" s="8"/>
      <c r="I33" s="8"/>
      <c r="J33" s="8"/>
      <c r="K33" s="8"/>
    </row>
    <row r="34" spans="1:11" ht="12" hidden="1" customHeight="1" x14ac:dyDescent="0.2">
      <c r="A34" s="5">
        <v>8000</v>
      </c>
      <c r="B34" s="6"/>
      <c r="C34" s="6"/>
      <c r="D34" s="6" t="e">
        <f>IF(AND(8001000000&lt;=F31,F31&lt;=8999999999),"ocho mil ",0)</f>
        <v>#REF!</v>
      </c>
      <c r="E34" s="7" t="e">
        <f>IF(AND(8001000000&lt;=F31,F31&lt;=8999999999),8000000000,0)</f>
        <v>#REF!</v>
      </c>
      <c r="F34" s="8"/>
      <c r="G34" s="8"/>
      <c r="H34" s="8"/>
      <c r="I34" s="8"/>
      <c r="J34" s="8"/>
      <c r="K34" s="8"/>
    </row>
    <row r="35" spans="1:11" ht="12" hidden="1" customHeight="1" x14ac:dyDescent="0.2">
      <c r="A35" s="5">
        <v>7000</v>
      </c>
      <c r="B35" s="6"/>
      <c r="C35" s="6"/>
      <c r="D35" s="6" t="e">
        <f>IF(AND(7001000000&lt;=F31,F31&lt;=7999999999),"siete mil ",0)</f>
        <v>#REF!</v>
      </c>
      <c r="E35" s="7" t="e">
        <f>IF(AND(7001000000&lt;=F31,F31&lt;=7999999999),7000000000,0)</f>
        <v>#REF!</v>
      </c>
      <c r="F35" s="8"/>
      <c r="G35" s="8"/>
      <c r="H35" s="8"/>
      <c r="I35" s="8"/>
      <c r="J35" s="8"/>
      <c r="K35" s="8"/>
    </row>
    <row r="36" spans="1:11" ht="12" hidden="1" customHeight="1" x14ac:dyDescent="0.2">
      <c r="A36" s="5">
        <v>6000</v>
      </c>
      <c r="B36" s="6"/>
      <c r="C36" s="6"/>
      <c r="D36" s="6" t="e">
        <f>IF(AND(6001000000&lt;=F31,F31&lt;=6999999999),"seis mil ",0)</f>
        <v>#REF!</v>
      </c>
      <c r="E36" s="7" t="e">
        <f>IF(AND(6001000000&lt;=F31,F31&lt;=6999999999),6000000000,0)</f>
        <v>#REF!</v>
      </c>
      <c r="F36" s="8"/>
      <c r="G36" s="8"/>
      <c r="H36" s="8"/>
      <c r="I36" s="8"/>
      <c r="J36" s="8"/>
      <c r="K36" s="8"/>
    </row>
    <row r="37" spans="1:11" ht="12" hidden="1" customHeight="1" x14ac:dyDescent="0.2">
      <c r="A37" s="5">
        <v>5000</v>
      </c>
      <c r="B37" s="6"/>
      <c r="C37" s="6"/>
      <c r="D37" s="6" t="e">
        <f>IF(AND(5001000000&lt;=F31,F31&lt;=5999999999),"cinco mil ",0)</f>
        <v>#REF!</v>
      </c>
      <c r="E37" s="7" t="e">
        <f>IF(AND(5001000000&lt;=F31,F31&lt;=5999999999),5000000000,0)</f>
        <v>#REF!</v>
      </c>
      <c r="F37" s="8"/>
      <c r="G37" s="8"/>
      <c r="H37" s="8"/>
      <c r="I37" s="8"/>
      <c r="J37" s="8"/>
      <c r="K37" s="8"/>
    </row>
    <row r="38" spans="1:11" ht="12" hidden="1" customHeight="1" x14ac:dyDescent="0.2">
      <c r="A38" s="5">
        <v>4000</v>
      </c>
      <c r="B38" s="6"/>
      <c r="C38" s="6"/>
      <c r="D38" s="6" t="e">
        <f>IF(AND(4001000000&lt;=F31,F31&lt;=4999999999),"cuatro mil ",0)</f>
        <v>#REF!</v>
      </c>
      <c r="E38" s="7" t="e">
        <f>IF(AND(4001000000&lt;=F31,F31&lt;=4999999999),4000000000,0)</f>
        <v>#REF!</v>
      </c>
      <c r="F38" s="8"/>
      <c r="G38" s="8"/>
      <c r="H38" s="8"/>
      <c r="I38" s="8"/>
      <c r="J38" s="8"/>
      <c r="K38" s="8"/>
    </row>
    <row r="39" spans="1:11" ht="12" hidden="1" customHeight="1" x14ac:dyDescent="0.2">
      <c r="A39" s="5">
        <v>3000</v>
      </c>
      <c r="B39" s="6"/>
      <c r="C39" s="6"/>
      <c r="D39" s="6" t="e">
        <f>IF(AND(3001000000&lt;=F31,F31&lt;=3999999999),"tres mil ",0)</f>
        <v>#REF!</v>
      </c>
      <c r="E39" s="7" t="e">
        <f>IF(AND(3001000000&lt;=F31,F31&lt;=3999999999),3000000000,0)</f>
        <v>#REF!</v>
      </c>
      <c r="F39" s="8"/>
      <c r="G39" s="8"/>
      <c r="H39" s="8"/>
      <c r="I39" s="8"/>
      <c r="J39" s="8"/>
      <c r="K39" s="8"/>
    </row>
    <row r="40" spans="1:11" ht="12" hidden="1" customHeight="1" x14ac:dyDescent="0.2">
      <c r="A40" s="5">
        <v>2000</v>
      </c>
      <c r="B40" s="6"/>
      <c r="C40" s="6"/>
      <c r="D40" s="6" t="e">
        <f>IF(AND(2001000000&lt;=F31,F31&lt;=2999999999),"dos mil ",0)</f>
        <v>#REF!</v>
      </c>
      <c r="E40" s="7" t="e">
        <f>IF(AND(2001000000&lt;=F31,F31&lt;=2999999999),2000000000,0)</f>
        <v>#REF!</v>
      </c>
      <c r="F40" s="8"/>
      <c r="G40" s="8"/>
      <c r="H40" s="8"/>
      <c r="I40" s="8"/>
      <c r="J40" s="8"/>
      <c r="K40" s="8"/>
    </row>
    <row r="41" spans="1:11" ht="12" hidden="1" customHeight="1" x14ac:dyDescent="0.2">
      <c r="A41" s="9">
        <v>1000</v>
      </c>
      <c r="B41" s="10"/>
      <c r="C41" s="10"/>
      <c r="D41" s="10" t="e">
        <f>IF(AND(1001000000&lt;=F31,F31&lt;=1999999999),"un mil ",0)</f>
        <v>#REF!</v>
      </c>
      <c r="E41" s="11" t="e">
        <f>IF(AND(1001000000&lt;=F31,F31&lt;=1999999999),1000000000,0)</f>
        <v>#REF!</v>
      </c>
      <c r="F41" s="12"/>
      <c r="G41" s="12"/>
      <c r="H41" s="12"/>
      <c r="I41" s="12"/>
      <c r="J41" s="12"/>
      <c r="K41" s="12"/>
    </row>
    <row r="42" spans="1:11" ht="12" hidden="1" customHeight="1" x14ac:dyDescent="0.2">
      <c r="A42" s="5"/>
      <c r="B42" s="6" t="e">
        <f>IF(E42=9000000000,D33,IF(E42=8000000000,D34,IF(E42=7000000000,D35,IF(E42=6000000000,D36,IF(E42=5000000000,D37,"")))))</f>
        <v>#REF!</v>
      </c>
      <c r="C42" s="6" t="e">
        <f>IF(E42=4000000000,D38,IF(E42=3000000000,D39,IF(E42=2000000000,D40,IF(E42=1000000000,D41,""))))</f>
        <v>#REF!</v>
      </c>
      <c r="D42" s="6" t="e">
        <f>IF(E42&gt;4000000000,B42,IF(E42&lt;5000000000,C42,))</f>
        <v>#REF!</v>
      </c>
      <c r="E42" s="7" t="e">
        <f>E33+E34+E35+E36+E37+E38+E39+E40+E41</f>
        <v>#REF!</v>
      </c>
      <c r="F42" s="8" t="e">
        <f>F31-E42</f>
        <v>#REF!</v>
      </c>
      <c r="G42" s="8"/>
      <c r="H42" s="8"/>
      <c r="I42" s="8"/>
      <c r="J42" s="8"/>
      <c r="K42" s="8" t="e">
        <f>K31-#REF!</f>
        <v>#REF!</v>
      </c>
    </row>
    <row r="43" spans="1:11" ht="12" hidden="1" customHeight="1" x14ac:dyDescent="0.2">
      <c r="A43" s="5" t="s">
        <v>16</v>
      </c>
      <c r="B43" s="6"/>
      <c r="C43" s="6"/>
      <c r="D43" s="6" t="s">
        <v>17</v>
      </c>
      <c r="E43" s="7" t="s">
        <v>18</v>
      </c>
      <c r="F43" s="8" t="s">
        <v>19</v>
      </c>
      <c r="G43" s="8"/>
      <c r="H43" s="8"/>
      <c r="I43" s="8"/>
      <c r="J43" s="8"/>
      <c r="K43" s="8" t="s">
        <v>19</v>
      </c>
    </row>
    <row r="44" spans="1:11" ht="12" hidden="1" customHeight="1" x14ac:dyDescent="0.2">
      <c r="A44" s="5">
        <v>9000</v>
      </c>
      <c r="B44" s="6"/>
      <c r="C44" s="6"/>
      <c r="D44" s="6" t="e">
        <f>IF(AND(9000000000&lt;=F42,F42&lt;=9000999999),"nueve mil millones ",0)</f>
        <v>#REF!</v>
      </c>
      <c r="E44" s="7" t="e">
        <f>IF(AND(9000000000&lt;=F42,F42&lt;=9000999999),9000000000,0)</f>
        <v>#REF!</v>
      </c>
      <c r="F44" s="8"/>
      <c r="G44" s="8"/>
      <c r="H44" s="8"/>
      <c r="I44" s="8"/>
      <c r="J44" s="8"/>
      <c r="K44" s="8"/>
    </row>
    <row r="45" spans="1:11" ht="12" hidden="1" customHeight="1" x14ac:dyDescent="0.2">
      <c r="A45" s="5">
        <v>8000</v>
      </c>
      <c r="B45" s="6"/>
      <c r="C45" s="6"/>
      <c r="D45" s="6" t="e">
        <f>IF(AND(8000000000&lt;=F42,F42&lt;=8000999999),"ocho mil millones ",0)</f>
        <v>#REF!</v>
      </c>
      <c r="E45" s="7" t="e">
        <f>IF(AND(8000000000&lt;=F42,F42&lt;=8000999999),8000000000,0)</f>
        <v>#REF!</v>
      </c>
      <c r="F45" s="8"/>
      <c r="G45" s="8"/>
      <c r="H45" s="8"/>
      <c r="I45" s="8"/>
      <c r="J45" s="8"/>
      <c r="K45" s="8"/>
    </row>
    <row r="46" spans="1:11" ht="12" hidden="1" customHeight="1" x14ac:dyDescent="0.2">
      <c r="A46" s="5">
        <v>7000</v>
      </c>
      <c r="B46" s="6"/>
      <c r="C46" s="6"/>
      <c r="D46" s="6" t="e">
        <f>IF(AND(7000000000&lt;=F42,F42&lt;=7000999999),"siete mil millones ",0)</f>
        <v>#REF!</v>
      </c>
      <c r="E46" s="7" t="e">
        <f>IF(AND(7000000000&lt;=F42,F42&lt;=7000999999),7000000000,0)</f>
        <v>#REF!</v>
      </c>
      <c r="F46" s="8"/>
      <c r="G46" s="8"/>
      <c r="H46" s="8"/>
      <c r="I46" s="8"/>
      <c r="J46" s="8"/>
      <c r="K46" s="8"/>
    </row>
    <row r="47" spans="1:11" ht="12" hidden="1" customHeight="1" x14ac:dyDescent="0.2">
      <c r="A47" s="5">
        <v>6000</v>
      </c>
      <c r="B47" s="6"/>
      <c r="C47" s="6"/>
      <c r="D47" s="6" t="e">
        <f>IF(AND(6000000000&lt;=F42,F42&lt;=6000999999),"seis mil millones ",0)</f>
        <v>#REF!</v>
      </c>
      <c r="E47" s="7" t="e">
        <f>IF(AND(6000000000&lt;=F42,F42&lt;=6000999999),6000000000,0)</f>
        <v>#REF!</v>
      </c>
      <c r="F47" s="8"/>
      <c r="G47" s="8"/>
      <c r="H47" s="8"/>
      <c r="I47" s="8"/>
      <c r="J47" s="8"/>
      <c r="K47" s="8"/>
    </row>
    <row r="48" spans="1:11" ht="12" hidden="1" customHeight="1" x14ac:dyDescent="0.2">
      <c r="A48" s="5">
        <v>5000</v>
      </c>
      <c r="B48" s="6"/>
      <c r="C48" s="6"/>
      <c r="D48" s="6" t="e">
        <f>IF(AND(5000000000&lt;=F42,F42&lt;=5000999999),"cinco mil millones ",0)</f>
        <v>#REF!</v>
      </c>
      <c r="E48" s="7" t="e">
        <f>IF(AND(5000000000&lt;=F42,F42&lt;=5000999999),5000000000,0)</f>
        <v>#REF!</v>
      </c>
      <c r="F48" s="8"/>
      <c r="G48" s="8"/>
      <c r="H48" s="8"/>
      <c r="I48" s="8"/>
      <c r="J48" s="8"/>
      <c r="K48" s="8"/>
    </row>
    <row r="49" spans="1:11" ht="12" hidden="1" customHeight="1" x14ac:dyDescent="0.2">
      <c r="A49" s="5">
        <v>4000</v>
      </c>
      <c r="B49" s="6"/>
      <c r="C49" s="6"/>
      <c r="D49" s="6" t="e">
        <f>IF(AND(4000000000&lt;=F42,F42&lt;=4000999999),"cuatro mil millones ",0)</f>
        <v>#REF!</v>
      </c>
      <c r="E49" s="7" t="e">
        <f>IF(AND(4000000000&lt;=F42,F42&lt;=4000999999),4000000000,0)</f>
        <v>#REF!</v>
      </c>
      <c r="F49" s="8"/>
      <c r="G49" s="8"/>
      <c r="H49" s="8"/>
      <c r="I49" s="8"/>
      <c r="J49" s="8"/>
      <c r="K49" s="8"/>
    </row>
    <row r="50" spans="1:11" ht="12" hidden="1" customHeight="1" x14ac:dyDescent="0.2">
      <c r="A50" s="5">
        <v>3000</v>
      </c>
      <c r="B50" s="6"/>
      <c r="C50" s="6"/>
      <c r="D50" s="6" t="e">
        <f>IF(AND(3000000000&lt;=F42,F42&lt;=3000999999),"tres mil millones ",0)</f>
        <v>#REF!</v>
      </c>
      <c r="E50" s="7" t="e">
        <f>IF(AND(3000000000&lt;=F42,F42&lt;=3000999999),3000000000,0)</f>
        <v>#REF!</v>
      </c>
      <c r="F50" s="8"/>
      <c r="G50" s="8"/>
      <c r="H50" s="8"/>
      <c r="I50" s="8"/>
      <c r="J50" s="8"/>
      <c r="K50" s="8"/>
    </row>
    <row r="51" spans="1:11" ht="12" hidden="1" customHeight="1" x14ac:dyDescent="0.2">
      <c r="A51" s="5">
        <v>2000</v>
      </c>
      <c r="B51" s="6"/>
      <c r="C51" s="6"/>
      <c r="D51" s="6" t="e">
        <f>IF(AND(2000000000&lt;=F42,F42&lt;=2000999999),"dos mil millones ",0)</f>
        <v>#REF!</v>
      </c>
      <c r="E51" s="7" t="e">
        <f>IF(AND(2000000000&lt;=F42,F42&lt;=2000999999),2000000000,0)</f>
        <v>#REF!</v>
      </c>
      <c r="F51" s="8"/>
      <c r="G51" s="8"/>
      <c r="H51" s="8"/>
      <c r="I51" s="8"/>
      <c r="J51" s="8"/>
      <c r="K51" s="8"/>
    </row>
    <row r="52" spans="1:11" ht="12" hidden="1" customHeight="1" x14ac:dyDescent="0.2">
      <c r="A52" s="9">
        <v>1000</v>
      </c>
      <c r="B52" s="10"/>
      <c r="C52" s="10"/>
      <c r="D52" s="10" t="e">
        <f>IF(AND(1000000000&lt;=F42,F42&lt;=1000999999),"un mil millones ",0)</f>
        <v>#REF!</v>
      </c>
      <c r="E52" s="11" t="e">
        <f>IF(AND(1000000000&lt;=F42,F42&lt;=1000999999),1000000000,0)</f>
        <v>#REF!</v>
      </c>
      <c r="F52" s="12"/>
      <c r="G52" s="12"/>
      <c r="H52" s="12"/>
      <c r="I52" s="12"/>
      <c r="J52" s="12"/>
      <c r="K52" s="12"/>
    </row>
    <row r="53" spans="1:11" ht="12" hidden="1" customHeight="1" x14ac:dyDescent="0.2">
      <c r="A53" s="5"/>
      <c r="B53" s="6" t="e">
        <f>IF(E53=9000000000,D44,IF(E53=8000000000,D45,IF(E53=7000000000,D46,IF(E53=6000000000,D47,IF(E53=5000000000,D48,"")))))</f>
        <v>#REF!</v>
      </c>
      <c r="C53" s="6" t="e">
        <f>IF(E53=4000000000,D49,IF(E53=3000000000,D50,IF(E53=2000000000,D51,IF(E53=1000000000,D52,""))))</f>
        <v>#REF!</v>
      </c>
      <c r="D53" s="6" t="e">
        <f>IF(E53&gt;4000000000,B53,IF(E53&lt;5000000000,C53,))</f>
        <v>#REF!</v>
      </c>
      <c r="E53" s="7" t="e">
        <f>E44+E45+E46+E47+E48+E49+E50+E51+E52</f>
        <v>#REF!</v>
      </c>
      <c r="F53" s="8" t="e">
        <f>F42-E53</f>
        <v>#REF!</v>
      </c>
      <c r="G53" s="8"/>
      <c r="H53" s="8"/>
      <c r="I53" s="8"/>
      <c r="J53" s="8"/>
      <c r="K53" s="8" t="e">
        <f>K42-#REF!</f>
        <v>#REF!</v>
      </c>
    </row>
    <row r="54" spans="1:11" ht="12" hidden="1" customHeight="1" x14ac:dyDescent="0.2">
      <c r="A54" s="5"/>
      <c r="B54" s="6"/>
      <c r="C54" s="6"/>
      <c r="D54" s="6"/>
      <c r="E54" s="7"/>
      <c r="F54" s="8" t="e">
        <f>F53</f>
        <v>#REF!</v>
      </c>
      <c r="G54" s="8"/>
      <c r="H54" s="8"/>
      <c r="I54" s="8"/>
      <c r="J54" s="8"/>
      <c r="K54" s="8" t="e">
        <f>K53</f>
        <v>#REF!</v>
      </c>
    </row>
    <row r="55" spans="1:11" ht="12" hidden="1" customHeight="1" x14ac:dyDescent="0.2">
      <c r="A55" s="5" t="s">
        <v>16</v>
      </c>
      <c r="B55" s="6"/>
      <c r="C55" s="6"/>
      <c r="D55" s="6" t="s">
        <v>17</v>
      </c>
      <c r="E55" s="7" t="s">
        <v>18</v>
      </c>
      <c r="F55" s="8" t="s">
        <v>19</v>
      </c>
      <c r="G55" s="8"/>
      <c r="H55" s="8"/>
      <c r="I55" s="8"/>
      <c r="J55" s="8"/>
      <c r="K55" s="8" t="s">
        <v>19</v>
      </c>
    </row>
    <row r="56" spans="1:11" ht="12" hidden="1" customHeight="1" x14ac:dyDescent="0.2">
      <c r="A56" s="5">
        <v>900</v>
      </c>
      <c r="B56" s="6"/>
      <c r="C56" s="6"/>
      <c r="D56" s="6" t="e">
        <f>IF(AND(901000000&lt;=F54,F54&lt;=999999999),"novecientos ",0)</f>
        <v>#REF!</v>
      </c>
      <c r="E56" s="7" t="e">
        <f>IF(AND(901000000&lt;=F54,F54&lt;=999999999),900000000,0)</f>
        <v>#REF!</v>
      </c>
      <c r="F56" s="8"/>
      <c r="G56" s="8"/>
      <c r="H56" s="8"/>
      <c r="I56" s="8"/>
      <c r="J56" s="8"/>
      <c r="K56" s="8"/>
    </row>
    <row r="57" spans="1:11" ht="12" hidden="1" customHeight="1" x14ac:dyDescent="0.2">
      <c r="A57" s="5">
        <v>800</v>
      </c>
      <c r="B57" s="6"/>
      <c r="C57" s="6"/>
      <c r="D57" s="6" t="e">
        <f>IF(AND(801000000&lt;=F54,F54&lt;=899999999),"ochocientos ",0)</f>
        <v>#REF!</v>
      </c>
      <c r="E57" s="7" t="e">
        <f>IF(AND(801000000&lt;=F54,F54&lt;=899999999),800000000,0)</f>
        <v>#REF!</v>
      </c>
      <c r="F57" s="8"/>
      <c r="G57" s="8"/>
      <c r="H57" s="8"/>
      <c r="I57" s="8"/>
      <c r="J57" s="8"/>
      <c r="K57" s="8"/>
    </row>
    <row r="58" spans="1:11" ht="12" hidden="1" customHeight="1" x14ac:dyDescent="0.2">
      <c r="A58" s="5">
        <v>700</v>
      </c>
      <c r="B58" s="6"/>
      <c r="C58" s="6"/>
      <c r="D58" s="6" t="e">
        <f>IF(AND(701000000&lt;=F54,F54&lt;=799999999),"setecientos ",0)</f>
        <v>#REF!</v>
      </c>
      <c r="E58" s="7" t="e">
        <f>IF(AND(701000000&lt;=F54,F54&lt;=799999999),700000000,0)</f>
        <v>#REF!</v>
      </c>
      <c r="F58" s="8"/>
      <c r="G58" s="8"/>
      <c r="H58" s="8"/>
      <c r="I58" s="8"/>
      <c r="J58" s="8"/>
      <c r="K58" s="8"/>
    </row>
    <row r="59" spans="1:11" ht="12" hidden="1" customHeight="1" x14ac:dyDescent="0.2">
      <c r="A59" s="5">
        <v>600</v>
      </c>
      <c r="B59" s="6"/>
      <c r="C59" s="6"/>
      <c r="D59" s="6" t="e">
        <f>IF(AND(601000000&lt;=F54,F54&lt;=699999999),"seiscientos ",0)</f>
        <v>#REF!</v>
      </c>
      <c r="E59" s="7" t="e">
        <f>IF(AND(601000000&lt;=F54,F54&lt;=699999999),600000000,0)</f>
        <v>#REF!</v>
      </c>
      <c r="F59" s="8"/>
      <c r="G59" s="8"/>
      <c r="H59" s="8"/>
      <c r="I59" s="8"/>
      <c r="J59" s="8"/>
      <c r="K59" s="8"/>
    </row>
    <row r="60" spans="1:11" ht="12" hidden="1" customHeight="1" x14ac:dyDescent="0.2">
      <c r="A60" s="5">
        <v>500</v>
      </c>
      <c r="B60" s="6"/>
      <c r="C60" s="6"/>
      <c r="D60" s="6" t="e">
        <f>IF(AND(501000000&lt;=F54,F54&lt;=599999999),"quinientos ",0)</f>
        <v>#REF!</v>
      </c>
      <c r="E60" s="7" t="e">
        <f>IF(AND(501000000&lt;=F54,F54&lt;=599999999),500000000,0)</f>
        <v>#REF!</v>
      </c>
      <c r="F60" s="8"/>
      <c r="G60" s="8"/>
      <c r="H60" s="8"/>
      <c r="I60" s="8"/>
      <c r="J60" s="8"/>
      <c r="K60" s="8"/>
    </row>
    <row r="61" spans="1:11" ht="12" hidden="1" customHeight="1" x14ac:dyDescent="0.2">
      <c r="A61" s="5">
        <v>400</v>
      </c>
      <c r="B61" s="6"/>
      <c r="C61" s="6"/>
      <c r="D61" s="6" t="e">
        <f>IF(AND(401000000&lt;=F54,F54&lt;=499999999),"cuatrocientos ",0)</f>
        <v>#REF!</v>
      </c>
      <c r="E61" s="7" t="e">
        <f>IF(AND(401000000&lt;=F54,F54&lt;=499999999),400000000,0)</f>
        <v>#REF!</v>
      </c>
      <c r="F61" s="8"/>
      <c r="G61" s="8"/>
      <c r="H61" s="8"/>
      <c r="I61" s="8"/>
      <c r="J61" s="8"/>
      <c r="K61" s="8"/>
    </row>
    <row r="62" spans="1:11" ht="12" hidden="1" customHeight="1" x14ac:dyDescent="0.2">
      <c r="A62" s="5">
        <v>300</v>
      </c>
      <c r="B62" s="6"/>
      <c r="C62" s="6"/>
      <c r="D62" s="6" t="e">
        <f>IF(AND(301000000&lt;=F54,F54&lt;=399999999),"trescientos ",0)</f>
        <v>#REF!</v>
      </c>
      <c r="E62" s="7" t="e">
        <f>IF(AND(301000000&lt;=F54,F54&lt;=399999999),300000000,0)</f>
        <v>#REF!</v>
      </c>
      <c r="F62" s="8"/>
      <c r="G62" s="8"/>
      <c r="H62" s="8"/>
      <c r="I62" s="8"/>
      <c r="J62" s="8"/>
      <c r="K62" s="8"/>
    </row>
    <row r="63" spans="1:11" ht="12" hidden="1" customHeight="1" x14ac:dyDescent="0.2">
      <c r="A63" s="5">
        <v>200</v>
      </c>
      <c r="B63" s="6"/>
      <c r="C63" s="6"/>
      <c r="D63" s="6" t="e">
        <f>IF(AND(201000000&lt;=F54,F54&lt;=299999999),"doscientos ",0)</f>
        <v>#REF!</v>
      </c>
      <c r="E63" s="7" t="e">
        <f>IF(AND(201000000&lt;=F54,F54&lt;=299999999),200000000,0)</f>
        <v>#REF!</v>
      </c>
      <c r="F63" s="8"/>
      <c r="G63" s="8"/>
      <c r="H63" s="8"/>
      <c r="I63" s="8"/>
      <c r="J63" s="8"/>
      <c r="K63" s="8"/>
    </row>
    <row r="64" spans="1:11" ht="12" hidden="1" customHeight="1" x14ac:dyDescent="0.2">
      <c r="A64" s="9">
        <v>100</v>
      </c>
      <c r="B64" s="10"/>
      <c r="C64" s="10"/>
      <c r="D64" s="10" t="e">
        <f>IF(AND(101000000&lt;=F54,F54&lt;=199999999),"ciento ",0)</f>
        <v>#REF!</v>
      </c>
      <c r="E64" s="11" t="e">
        <f>IF(AND(101000000&lt;=F54,F54&lt;=199999999),100000000,0)</f>
        <v>#REF!</v>
      </c>
      <c r="F64" s="12"/>
      <c r="G64" s="12"/>
      <c r="H64" s="12"/>
      <c r="I64" s="12"/>
      <c r="J64" s="12"/>
      <c r="K64" s="12"/>
    </row>
    <row r="65" spans="1:11" ht="12" hidden="1" customHeight="1" x14ac:dyDescent="0.2">
      <c r="A65" s="5"/>
      <c r="B65" s="6" t="e">
        <f>IF(E65=900000000,D56,IF(E65=800000000,D57,IF(E65=700000000,D58,IF(E65=600000000,D59,IF(E65=500000000,D60,"")))))</f>
        <v>#REF!</v>
      </c>
      <c r="C65" s="6" t="e">
        <f>IF(E65=400000000,D61,IF(E65=300000000,D62,IF(E65=200000000,D63,IF(E65=100000000,D64,""))))</f>
        <v>#REF!</v>
      </c>
      <c r="D65" s="6" t="e">
        <f>IF(E65&gt;400000000,B65,IF(E65&lt;500000000,C65,""))</f>
        <v>#REF!</v>
      </c>
      <c r="E65" s="7" t="e">
        <f>E56+E57+E58+E59+E60+E61+E62+E63+E64</f>
        <v>#REF!</v>
      </c>
      <c r="F65" s="8" t="e">
        <f>F54-E65</f>
        <v>#REF!</v>
      </c>
      <c r="G65" s="8"/>
      <c r="H65" s="8"/>
      <c r="I65" s="8"/>
      <c r="J65" s="8"/>
      <c r="K65" s="8" t="e">
        <f>K54-#REF!</f>
        <v>#REF!</v>
      </c>
    </row>
    <row r="66" spans="1:11" ht="12" hidden="1" customHeight="1" x14ac:dyDescent="0.2">
      <c r="A66" s="5" t="s">
        <v>16</v>
      </c>
      <c r="B66" s="6"/>
      <c r="C66" s="6"/>
      <c r="D66" s="6" t="s">
        <v>17</v>
      </c>
      <c r="E66" s="7" t="s">
        <v>18</v>
      </c>
      <c r="F66" s="8" t="s">
        <v>19</v>
      </c>
      <c r="G66" s="8"/>
      <c r="H66" s="8"/>
      <c r="I66" s="8"/>
      <c r="J66" s="8"/>
      <c r="K66" s="8" t="s">
        <v>19</v>
      </c>
    </row>
    <row r="67" spans="1:11" ht="12" hidden="1" customHeight="1" x14ac:dyDescent="0.2">
      <c r="A67" s="5">
        <v>900</v>
      </c>
      <c r="B67" s="6"/>
      <c r="C67" s="6"/>
      <c r="D67" s="6" t="e">
        <f>IF(AND(900000000&lt;=F54,F54&lt;=900999999),"novecientos millones ",0)</f>
        <v>#REF!</v>
      </c>
      <c r="E67" s="7" t="e">
        <f>IF(AND(900000000&lt;=F54,F54&lt;=900999999),900000000,0)</f>
        <v>#REF!</v>
      </c>
      <c r="F67" s="8"/>
      <c r="G67" s="8"/>
      <c r="H67" s="8"/>
      <c r="I67" s="8"/>
      <c r="J67" s="8"/>
      <c r="K67" s="8"/>
    </row>
    <row r="68" spans="1:11" ht="12" hidden="1" customHeight="1" x14ac:dyDescent="0.2">
      <c r="A68" s="5">
        <v>800</v>
      </c>
      <c r="B68" s="6"/>
      <c r="C68" s="6"/>
      <c r="D68" s="6" t="e">
        <f>IF(AND(800000000&lt;=F54,F54&lt;=800999999),"ochocientos millones ",0)</f>
        <v>#REF!</v>
      </c>
      <c r="E68" s="7" t="e">
        <f>IF(AND(800000000&lt;=F54,F54&lt;=800999999),800000000,0)</f>
        <v>#REF!</v>
      </c>
      <c r="F68" s="8"/>
      <c r="G68" s="8"/>
      <c r="H68" s="8"/>
      <c r="I68" s="8"/>
      <c r="J68" s="8"/>
      <c r="K68" s="8"/>
    </row>
    <row r="69" spans="1:11" ht="12" hidden="1" customHeight="1" x14ac:dyDescent="0.2">
      <c r="A69" s="5">
        <v>700</v>
      </c>
      <c r="B69" s="6"/>
      <c r="C69" s="6"/>
      <c r="D69" s="6" t="e">
        <f>IF(AND(700000000&lt;=F54,F54&lt;=700999999),"setecientos millonesl ",0)</f>
        <v>#REF!</v>
      </c>
      <c r="E69" s="7" t="e">
        <f>IF(AND(700000000&lt;=F54,F54&lt;=700999999),700000000,0)</f>
        <v>#REF!</v>
      </c>
      <c r="F69" s="8"/>
      <c r="G69" s="8"/>
      <c r="H69" s="8"/>
      <c r="I69" s="8"/>
      <c r="J69" s="8"/>
      <c r="K69" s="8"/>
    </row>
    <row r="70" spans="1:11" ht="12" hidden="1" customHeight="1" x14ac:dyDescent="0.2">
      <c r="A70" s="5">
        <v>600</v>
      </c>
      <c r="B70" s="6"/>
      <c r="C70" s="6"/>
      <c r="D70" s="6" t="e">
        <f>IF(AND(600000000&lt;=F54,F54&lt;=600999999),"seiscientos millones ",0)</f>
        <v>#REF!</v>
      </c>
      <c r="E70" s="7" t="e">
        <f>IF(AND(600000000&lt;=F54,F54&lt;=600999999),600000000,0)</f>
        <v>#REF!</v>
      </c>
      <c r="F70" s="8"/>
      <c r="G70" s="8"/>
      <c r="H70" s="8"/>
      <c r="I70" s="8"/>
      <c r="J70" s="8"/>
      <c r="K70" s="8"/>
    </row>
    <row r="71" spans="1:11" ht="12" hidden="1" customHeight="1" x14ac:dyDescent="0.2">
      <c r="A71" s="5">
        <v>500</v>
      </c>
      <c r="B71" s="6"/>
      <c r="C71" s="6"/>
      <c r="D71" s="6" t="e">
        <f>IF(AND(500000000&lt;=F54,F54&lt;=500999999),"quinientos millones ",0)</f>
        <v>#REF!</v>
      </c>
      <c r="E71" s="7" t="e">
        <f>IF(AND(500000000&lt;=F54,F54&lt;=500999999),500000000,0)</f>
        <v>#REF!</v>
      </c>
      <c r="F71" s="8"/>
      <c r="G71" s="8"/>
      <c r="H71" s="8"/>
      <c r="I71" s="8"/>
      <c r="J71" s="8"/>
      <c r="K71" s="8"/>
    </row>
    <row r="72" spans="1:11" ht="12" hidden="1" customHeight="1" x14ac:dyDescent="0.2">
      <c r="A72" s="5">
        <v>400</v>
      </c>
      <c r="B72" s="6"/>
      <c r="C72" s="6"/>
      <c r="D72" s="6" t="e">
        <f>IF(AND(400000000&lt;=F54,F54&lt;=400999999),"cuatrocientos millones ",0)</f>
        <v>#REF!</v>
      </c>
      <c r="E72" s="7" t="e">
        <f>IF(AND(400000000&lt;=F54,F54&lt;=400999999),400000000,0)</f>
        <v>#REF!</v>
      </c>
      <c r="F72" s="8"/>
      <c r="G72" s="8"/>
      <c r="H72" s="8"/>
      <c r="I72" s="8"/>
      <c r="J72" s="8"/>
      <c r="K72" s="8"/>
    </row>
    <row r="73" spans="1:11" ht="12" hidden="1" customHeight="1" x14ac:dyDescent="0.2">
      <c r="A73" s="5">
        <v>300</v>
      </c>
      <c r="B73" s="6"/>
      <c r="C73" s="6"/>
      <c r="D73" s="6" t="e">
        <f>IF(AND(300000000&lt;=F54,F54&lt;=300999999),"trescientos millones ",0)</f>
        <v>#REF!</v>
      </c>
      <c r="E73" s="7" t="e">
        <f>IF(AND(300000000&lt;=F54,F54&lt;=300999999),300000000,0)</f>
        <v>#REF!</v>
      </c>
      <c r="F73" s="8"/>
      <c r="G73" s="8"/>
      <c r="H73" s="8"/>
      <c r="I73" s="8"/>
      <c r="J73" s="8"/>
      <c r="K73" s="8"/>
    </row>
    <row r="74" spans="1:11" ht="12" hidden="1" customHeight="1" x14ac:dyDescent="0.2">
      <c r="A74" s="5">
        <v>200</v>
      </c>
      <c r="B74" s="6"/>
      <c r="C74" s="6"/>
      <c r="D74" s="6" t="e">
        <f>IF(AND(200000000&lt;=F54,F54&lt;=200999999),"doscientos millones ",0)</f>
        <v>#REF!</v>
      </c>
      <c r="E74" s="7" t="e">
        <f>IF(AND(200000000&lt;=F54,F54&lt;=200999999),200000000,0)</f>
        <v>#REF!</v>
      </c>
      <c r="F74" s="8"/>
      <c r="G74" s="8"/>
      <c r="H74" s="8"/>
      <c r="I74" s="8"/>
      <c r="J74" s="8"/>
      <c r="K74" s="8"/>
    </row>
    <row r="75" spans="1:11" ht="12" hidden="1" customHeight="1" x14ac:dyDescent="0.2">
      <c r="A75" s="9">
        <v>100</v>
      </c>
      <c r="B75" s="10"/>
      <c r="C75" s="10"/>
      <c r="D75" s="10" t="e">
        <f>IF(AND(100000000&lt;=F54,F54&lt;=100999999),"cien millones ",0)</f>
        <v>#REF!</v>
      </c>
      <c r="E75" s="11" t="e">
        <f>IF(AND(100000000&lt;=F54,F54&lt;=100999999),100000000,0)</f>
        <v>#REF!</v>
      </c>
      <c r="F75" s="12"/>
      <c r="G75" s="12"/>
      <c r="H75" s="12"/>
      <c r="I75" s="12"/>
      <c r="J75" s="12"/>
      <c r="K75" s="12"/>
    </row>
    <row r="76" spans="1:11" ht="12" hidden="1" customHeight="1" x14ac:dyDescent="0.2">
      <c r="A76" s="5"/>
      <c r="B76" s="6" t="e">
        <f>IF(E76=900000000,D67,IF(E76=800000000,D68,IF(E76=700000000,D69,IF(E76=600000000,D70,IF(E76=500000000,D71,"")))))</f>
        <v>#REF!</v>
      </c>
      <c r="C76" s="6" t="e">
        <f>IF(E76=400000000,D72,IF(E76=300000000,D73,IF(E76=200000000,D74,IF(E76=100000000,D75,""))))</f>
        <v>#REF!</v>
      </c>
      <c r="D76" s="6" t="e">
        <f>IF(E76&gt;400000000,B76,IF(E76&lt;500000000,C76,))</f>
        <v>#REF!</v>
      </c>
      <c r="E76" s="7" t="e">
        <f>E67+E68+E69+E70+E71+E72+E73+E74+E75</f>
        <v>#REF!</v>
      </c>
      <c r="F76" s="8" t="e">
        <f>F65-E76</f>
        <v>#REF!</v>
      </c>
      <c r="G76" s="8"/>
      <c r="H76" s="8"/>
      <c r="I76" s="8"/>
      <c r="J76" s="8"/>
      <c r="K76" s="8" t="e">
        <f>K65-#REF!</f>
        <v>#REF!</v>
      </c>
    </row>
    <row r="77" spans="1:11" ht="12" hidden="1" customHeight="1" x14ac:dyDescent="0.2">
      <c r="A77" s="5"/>
      <c r="B77" s="6"/>
      <c r="C77" s="6"/>
      <c r="D77" s="6"/>
      <c r="E77" s="7"/>
      <c r="F77" s="8" t="e">
        <f>F76</f>
        <v>#REF!</v>
      </c>
      <c r="G77" s="8"/>
      <c r="H77" s="8"/>
      <c r="I77" s="8"/>
      <c r="J77" s="8"/>
      <c r="K77" s="8" t="e">
        <f>K76</f>
        <v>#REF!</v>
      </c>
    </row>
    <row r="78" spans="1:11" ht="12" hidden="1" customHeight="1" x14ac:dyDescent="0.2">
      <c r="A78" s="5" t="s">
        <v>16</v>
      </c>
      <c r="B78" s="6"/>
      <c r="C78" s="6"/>
      <c r="D78" s="6" t="s">
        <v>17</v>
      </c>
      <c r="E78" s="7" t="s">
        <v>18</v>
      </c>
      <c r="F78" s="8" t="s">
        <v>19</v>
      </c>
      <c r="G78" s="8"/>
      <c r="H78" s="8"/>
      <c r="I78" s="8"/>
      <c r="J78" s="8"/>
      <c r="K78" s="8" t="s">
        <v>19</v>
      </c>
    </row>
    <row r="79" spans="1:11" ht="12" hidden="1" customHeight="1" x14ac:dyDescent="0.2">
      <c r="A79" s="5">
        <v>90</v>
      </c>
      <c r="B79" s="6"/>
      <c r="C79" s="6"/>
      <c r="D79" s="6" t="e">
        <f>IF(AND(91000000&lt;=F77,F77&lt;=99999999),"noventa y ",0)</f>
        <v>#REF!</v>
      </c>
      <c r="E79" s="7" t="e">
        <f>IF(AND(91000000&lt;=F77,F77&lt;=99999999),90000000,0)</f>
        <v>#REF!</v>
      </c>
      <c r="F79" s="8"/>
      <c r="G79" s="8"/>
      <c r="H79" s="8"/>
      <c r="I79" s="8"/>
      <c r="J79" s="8"/>
      <c r="K79" s="8"/>
    </row>
    <row r="80" spans="1:11" ht="12" hidden="1" customHeight="1" x14ac:dyDescent="0.2">
      <c r="A80" s="5">
        <v>80</v>
      </c>
      <c r="B80" s="6"/>
      <c r="C80" s="6"/>
      <c r="D80" s="6" t="e">
        <f>IF(AND(81000000&lt;=F77,F77&lt;=89999999),"ochenta y ",0)</f>
        <v>#REF!</v>
      </c>
      <c r="E80" s="7" t="e">
        <f>IF(AND(81000000&lt;=F77,F77&lt;=89999999),80000000,0)</f>
        <v>#REF!</v>
      </c>
      <c r="F80" s="8"/>
      <c r="G80" s="8"/>
      <c r="H80" s="8"/>
      <c r="I80" s="8"/>
      <c r="J80" s="8"/>
      <c r="K80" s="8"/>
    </row>
    <row r="81" spans="1:11" ht="12" hidden="1" customHeight="1" x14ac:dyDescent="0.2">
      <c r="A81" s="5">
        <v>70</v>
      </c>
      <c r="B81" s="6"/>
      <c r="C81" s="6"/>
      <c r="D81" s="6" t="e">
        <f>IF(AND(71000000&lt;=F77,F77&lt;=79999999),"setenta y ",0)</f>
        <v>#REF!</v>
      </c>
      <c r="E81" s="7" t="e">
        <f>IF(AND(71000000&lt;=F77,F77&lt;=79999999),70000000,0)</f>
        <v>#REF!</v>
      </c>
      <c r="F81" s="8"/>
      <c r="G81" s="8"/>
      <c r="H81" s="8"/>
      <c r="I81" s="8"/>
      <c r="J81" s="8"/>
      <c r="K81" s="8"/>
    </row>
    <row r="82" spans="1:11" ht="12" hidden="1" customHeight="1" x14ac:dyDescent="0.2">
      <c r="A82" s="5">
        <v>60</v>
      </c>
      <c r="B82" s="6"/>
      <c r="C82" s="6"/>
      <c r="D82" s="6" t="e">
        <f>IF(AND(61000000&lt;=F77,F77&lt;=69999999),"sesenta y ",0)</f>
        <v>#REF!</v>
      </c>
      <c r="E82" s="7" t="e">
        <f>IF(AND(61000000&lt;=F77,F77&lt;=69999999),60000000,0)</f>
        <v>#REF!</v>
      </c>
      <c r="F82" s="8"/>
      <c r="G82" s="8"/>
      <c r="H82" s="8"/>
      <c r="I82" s="8"/>
      <c r="J82" s="8"/>
      <c r="K82" s="8"/>
    </row>
    <row r="83" spans="1:11" ht="12" hidden="1" customHeight="1" x14ac:dyDescent="0.2">
      <c r="A83" s="5">
        <v>50</v>
      </c>
      <c r="B83" s="6"/>
      <c r="C83" s="6"/>
      <c r="D83" s="6" t="e">
        <f>IF(AND(51000000&lt;=F77,F77&lt;=59999999),"cincuenta y ",0)</f>
        <v>#REF!</v>
      </c>
      <c r="E83" s="7" t="e">
        <f>IF(AND(51000000&lt;=F77,F77&lt;=59999999),50000000,0)</f>
        <v>#REF!</v>
      </c>
      <c r="F83" s="8"/>
      <c r="G83" s="8"/>
      <c r="H83" s="8"/>
      <c r="I83" s="8"/>
      <c r="J83" s="8"/>
      <c r="K83" s="8"/>
    </row>
    <row r="84" spans="1:11" ht="12" hidden="1" customHeight="1" x14ac:dyDescent="0.2">
      <c r="A84" s="5">
        <v>40</v>
      </c>
      <c r="B84" s="6"/>
      <c r="C84" s="6"/>
      <c r="D84" s="6" t="e">
        <f>IF(AND(41000000&lt;=F77,F77&lt;=49999999),"cuarenta y ",0)</f>
        <v>#REF!</v>
      </c>
      <c r="E84" s="7" t="e">
        <f>IF(AND(41000000&lt;=F77,F77&lt;=49999999),40000000,0)</f>
        <v>#REF!</v>
      </c>
      <c r="F84" s="8"/>
      <c r="G84" s="8"/>
      <c r="H84" s="8"/>
      <c r="I84" s="8"/>
      <c r="J84" s="8"/>
      <c r="K84" s="8"/>
    </row>
    <row r="85" spans="1:11" ht="12" hidden="1" customHeight="1" x14ac:dyDescent="0.2">
      <c r="A85" s="5">
        <v>30</v>
      </c>
      <c r="B85" s="6"/>
      <c r="C85" s="6"/>
      <c r="D85" s="6" t="e">
        <f>IF(AND(31000000&lt;=F77,F77&lt;=39999999),"treinta y ",0)</f>
        <v>#REF!</v>
      </c>
      <c r="E85" s="7" t="e">
        <f>IF(AND(31000000&lt;=F77,F77&lt;=39999999),30000000,0)</f>
        <v>#REF!</v>
      </c>
      <c r="F85" s="8"/>
      <c r="G85" s="8"/>
      <c r="H85" s="8"/>
      <c r="I85" s="8"/>
      <c r="J85" s="8"/>
      <c r="K85" s="8"/>
    </row>
    <row r="86" spans="1:11" ht="12" hidden="1" customHeight="1" x14ac:dyDescent="0.2">
      <c r="A86" s="5">
        <v>20</v>
      </c>
      <c r="B86" s="6"/>
      <c r="C86" s="6"/>
      <c r="D86" s="6" t="e">
        <f>IF(AND(21000000&lt;=F77,F77&lt;=29999999),"veinti",0)</f>
        <v>#REF!</v>
      </c>
      <c r="E86" s="7" t="e">
        <f>IF(AND(21000000&lt;=F77,F77&lt;=29999999),20000000,0)</f>
        <v>#REF!</v>
      </c>
      <c r="F86" s="8"/>
      <c r="G86" s="8"/>
      <c r="H86" s="8"/>
      <c r="I86" s="8"/>
      <c r="J86" s="8"/>
      <c r="K86" s="8"/>
    </row>
    <row r="87" spans="1:11" ht="12" hidden="1" customHeight="1" x14ac:dyDescent="0.2">
      <c r="A87" s="9">
        <v>16</v>
      </c>
      <c r="B87" s="10"/>
      <c r="C87" s="10"/>
      <c r="D87" s="10" t="e">
        <f>IF(AND(16000000&lt;=F77,F77&lt;=19999999),"dieci",0)</f>
        <v>#REF!</v>
      </c>
      <c r="E87" s="11" t="e">
        <f>IF(AND(16000000&lt;=F77,F77&lt;=19999999),10000000,0)</f>
        <v>#REF!</v>
      </c>
      <c r="F87" s="12"/>
      <c r="G87" s="12"/>
      <c r="H87" s="12"/>
      <c r="I87" s="12"/>
      <c r="J87" s="12"/>
      <c r="K87" s="12"/>
    </row>
    <row r="88" spans="1:11" ht="12" hidden="1" customHeight="1" x14ac:dyDescent="0.2">
      <c r="A88" s="5"/>
      <c r="B88" s="6" t="e">
        <f>IF(E88=90000000,D79,IF(E88=80000000,D80,IF(E88=70000000,D81,IF(E88=60000000,D82,IF(E88=50000000,D83,"")))))</f>
        <v>#REF!</v>
      </c>
      <c r="C88" s="6" t="e">
        <f>IF(E88=40000000,D84,IF(E88=30000000,D85,IF(E88=20000000,D86,IF(E88=10000000,D87,""))))</f>
        <v>#REF!</v>
      </c>
      <c r="D88" s="6" t="e">
        <f>IF(E88&gt;40000000,B88,IF(E88&lt;50000000,C88,""))</f>
        <v>#REF!</v>
      </c>
      <c r="E88" s="7" t="e">
        <f>E79+E80+E81+E82+E83+E84+E85+E86+E87</f>
        <v>#REF!</v>
      </c>
      <c r="F88" s="8" t="e">
        <f>F77-E88</f>
        <v>#REF!</v>
      </c>
      <c r="G88" s="8"/>
      <c r="H88" s="8"/>
      <c r="I88" s="8"/>
      <c r="J88" s="8"/>
      <c r="K88" s="8" t="e">
        <f>K77-#REF!</f>
        <v>#REF!</v>
      </c>
    </row>
    <row r="89" spans="1:11" ht="12" hidden="1" customHeight="1" x14ac:dyDescent="0.2">
      <c r="A89" s="5" t="s">
        <v>16</v>
      </c>
      <c r="B89" s="6"/>
      <c r="C89" s="6"/>
      <c r="D89" s="6" t="s">
        <v>17</v>
      </c>
      <c r="E89" s="7" t="s">
        <v>18</v>
      </c>
      <c r="F89" s="8" t="s">
        <v>19</v>
      </c>
      <c r="G89" s="8"/>
      <c r="H89" s="8"/>
      <c r="I89" s="8"/>
      <c r="J89" s="8"/>
      <c r="K89" s="8" t="s">
        <v>19</v>
      </c>
    </row>
    <row r="90" spans="1:11" ht="12" hidden="1" customHeight="1" x14ac:dyDescent="0.2">
      <c r="A90" s="5">
        <v>90</v>
      </c>
      <c r="B90" s="6"/>
      <c r="C90" s="6"/>
      <c r="D90" s="6" t="e">
        <f>IF(AND(90000000&lt;=F77,F77&lt;=90999999),"noventa millones ",0)</f>
        <v>#REF!</v>
      </c>
      <c r="E90" s="7" t="e">
        <f>IF(AND(90000000&lt;=F77,F77&lt;=90999999),90000000,0)</f>
        <v>#REF!</v>
      </c>
      <c r="F90" s="8"/>
      <c r="G90" s="8"/>
      <c r="H90" s="8"/>
      <c r="I90" s="8"/>
      <c r="J90" s="8"/>
      <c r="K90" s="8"/>
    </row>
    <row r="91" spans="1:11" ht="12" hidden="1" customHeight="1" x14ac:dyDescent="0.2">
      <c r="A91" s="5">
        <v>80</v>
      </c>
      <c r="B91" s="6"/>
      <c r="C91" s="6"/>
      <c r="D91" s="6" t="e">
        <f>IF(AND(80000000&lt;=F77,F77&lt;=80999999),"ochenta millones ",0)</f>
        <v>#REF!</v>
      </c>
      <c r="E91" s="7" t="e">
        <f>IF(AND(80000000&lt;=F77,F77&lt;=80999999),80000000,0)</f>
        <v>#REF!</v>
      </c>
      <c r="F91" s="8"/>
      <c r="G91" s="8"/>
      <c r="H91" s="8"/>
      <c r="I91" s="8"/>
      <c r="J91" s="8"/>
      <c r="K91" s="8"/>
    </row>
    <row r="92" spans="1:11" ht="12" hidden="1" customHeight="1" x14ac:dyDescent="0.2">
      <c r="A92" s="5">
        <v>70</v>
      </c>
      <c r="B92" s="6"/>
      <c r="C92" s="6"/>
      <c r="D92" s="6" t="e">
        <f>IF(AND(70000000&lt;=F77,F77&lt;=70999999),"setenta millones ",0)</f>
        <v>#REF!</v>
      </c>
      <c r="E92" s="7" t="e">
        <f>IF(AND(70000000&lt;=F77,F77&lt;=70999999),70000000,0)</f>
        <v>#REF!</v>
      </c>
      <c r="F92" s="8"/>
      <c r="G92" s="8"/>
      <c r="H92" s="8"/>
      <c r="I92" s="8"/>
      <c r="J92" s="8"/>
      <c r="K92" s="8"/>
    </row>
    <row r="93" spans="1:11" ht="12" hidden="1" customHeight="1" x14ac:dyDescent="0.2">
      <c r="A93" s="5">
        <v>60</v>
      </c>
      <c r="B93" s="6"/>
      <c r="C93" s="6"/>
      <c r="D93" s="6" t="e">
        <f>IF(AND(60000000&lt;=F77,F77&lt;=60999999),"sesenta millones ",0)</f>
        <v>#REF!</v>
      </c>
      <c r="E93" s="7" t="e">
        <f>IF(AND(60000000&lt;=F77,F77&lt;=60999999),60000000,0)</f>
        <v>#REF!</v>
      </c>
      <c r="F93" s="8"/>
      <c r="G93" s="8"/>
      <c r="H93" s="8"/>
      <c r="I93" s="8"/>
      <c r="J93" s="8"/>
      <c r="K93" s="8"/>
    </row>
    <row r="94" spans="1:11" ht="12" hidden="1" customHeight="1" x14ac:dyDescent="0.2">
      <c r="A94" s="5">
        <v>50</v>
      </c>
      <c r="B94" s="6"/>
      <c r="C94" s="6"/>
      <c r="D94" s="6" t="e">
        <f>IF(AND(50000000&lt;=F77,F77&lt;=50999999),"cincuenta millones ",0)</f>
        <v>#REF!</v>
      </c>
      <c r="E94" s="7" t="e">
        <f>IF(AND(50000000&lt;=F77,F77&lt;=50999999),50000000,0)</f>
        <v>#REF!</v>
      </c>
      <c r="F94" s="8"/>
      <c r="G94" s="8"/>
      <c r="H94" s="8"/>
      <c r="I94" s="8"/>
      <c r="J94" s="8"/>
      <c r="K94" s="8"/>
    </row>
    <row r="95" spans="1:11" ht="12" hidden="1" customHeight="1" x14ac:dyDescent="0.2">
      <c r="A95" s="5">
        <v>40</v>
      </c>
      <c r="B95" s="6"/>
      <c r="C95" s="6"/>
      <c r="D95" s="6" t="e">
        <f>IF(AND(40000000&lt;=F77,F77&lt;=40999999),"cuarenta millones ",0)</f>
        <v>#REF!</v>
      </c>
      <c r="E95" s="7" t="e">
        <f>IF(AND(40000000&lt;=F77,F77&lt;=40999999),40000000,0)</f>
        <v>#REF!</v>
      </c>
      <c r="F95" s="8"/>
      <c r="G95" s="8"/>
      <c r="H95" s="8"/>
      <c r="I95" s="8"/>
      <c r="J95" s="8"/>
      <c r="K95" s="8"/>
    </row>
    <row r="96" spans="1:11" ht="12" hidden="1" customHeight="1" x14ac:dyDescent="0.2">
      <c r="A96" s="5">
        <v>30</v>
      </c>
      <c r="B96" s="6"/>
      <c r="C96" s="6"/>
      <c r="D96" s="6" t="e">
        <f>IF(AND(30000000&lt;=F77,F77&lt;=30999999),"treinta millones ",0)</f>
        <v>#REF!</v>
      </c>
      <c r="E96" s="7" t="e">
        <f>IF(AND(30000000&lt;=F77,F77&lt;=30999999),30000000,0)</f>
        <v>#REF!</v>
      </c>
      <c r="F96" s="8"/>
      <c r="G96" s="8"/>
      <c r="H96" s="8"/>
      <c r="I96" s="8"/>
      <c r="J96" s="8"/>
      <c r="K96" s="8"/>
    </row>
    <row r="97" spans="1:11" ht="12" hidden="1" customHeight="1" x14ac:dyDescent="0.2">
      <c r="A97" s="5">
        <v>20</v>
      </c>
      <c r="B97" s="6"/>
      <c r="C97" s="6"/>
      <c r="D97" s="6" t="e">
        <f>IF(AND(20000000&lt;=F77,F77&lt;=20999999),"veinte millones ",0)</f>
        <v>#REF!</v>
      </c>
      <c r="E97" s="7" t="e">
        <f>IF(AND(20000000&lt;=F77,F77&lt;=20999999),20000000,0)</f>
        <v>#REF!</v>
      </c>
      <c r="F97" s="8"/>
      <c r="G97" s="8"/>
      <c r="H97" s="8"/>
      <c r="I97" s="8"/>
      <c r="J97" s="8"/>
      <c r="K97" s="8"/>
    </row>
    <row r="98" spans="1:11" ht="12" hidden="1" customHeight="1" x14ac:dyDescent="0.2">
      <c r="A98" s="5">
        <v>15</v>
      </c>
      <c r="B98" s="6"/>
      <c r="C98" s="6"/>
      <c r="D98" s="6" t="e">
        <f>IF(AND(15000000&lt;=F77,F77&lt;=15999999),"quince millones ",0)</f>
        <v>#REF!</v>
      </c>
      <c r="E98" s="7" t="e">
        <f>IF(AND(15000000&lt;=F77,F77&lt;=15999999),15000000,0)</f>
        <v>#REF!</v>
      </c>
      <c r="F98" s="8"/>
      <c r="G98" s="8"/>
      <c r="H98" s="8"/>
      <c r="I98" s="8"/>
      <c r="J98" s="8"/>
      <c r="K98" s="8"/>
    </row>
    <row r="99" spans="1:11" ht="12" hidden="1" customHeight="1" x14ac:dyDescent="0.2">
      <c r="A99" s="5">
        <v>14</v>
      </c>
      <c r="B99" s="6"/>
      <c r="C99" s="6"/>
      <c r="D99" s="6" t="e">
        <f>IF(AND(14000000&lt;=F77,F77&lt;=14999999),"catorce millones ",0)</f>
        <v>#REF!</v>
      </c>
      <c r="E99" s="7" t="e">
        <f>IF(AND(14000000&lt;=F77,F77&lt;=14999999),14000000,0)</f>
        <v>#REF!</v>
      </c>
      <c r="F99" s="8"/>
      <c r="G99" s="8"/>
      <c r="H99" s="8"/>
      <c r="I99" s="8"/>
      <c r="J99" s="8"/>
      <c r="K99" s="8"/>
    </row>
    <row r="100" spans="1:11" ht="12" hidden="1" customHeight="1" x14ac:dyDescent="0.2">
      <c r="A100" s="5">
        <v>13</v>
      </c>
      <c r="B100" s="6"/>
      <c r="C100" s="6"/>
      <c r="D100" s="6" t="e">
        <f>IF(AND(13000000&lt;=F77,F77&lt;=13999999),"trece millones ",0)</f>
        <v>#REF!</v>
      </c>
      <c r="E100" s="7" t="e">
        <f>IF(AND(13000000&lt;=F77,F77&lt;=13999999),13000000,0)</f>
        <v>#REF!</v>
      </c>
      <c r="F100" s="8"/>
      <c r="G100" s="8"/>
      <c r="H100" s="8"/>
      <c r="I100" s="8"/>
      <c r="J100" s="8"/>
      <c r="K100" s="8"/>
    </row>
    <row r="101" spans="1:11" ht="12" hidden="1" customHeight="1" x14ac:dyDescent="0.2">
      <c r="A101" s="5">
        <v>12</v>
      </c>
      <c r="B101" s="6"/>
      <c r="C101" s="6"/>
      <c r="D101" s="6" t="e">
        <f>IF(AND(12000000&lt;=F77,F77&lt;=12999999),"doce millones ",0)</f>
        <v>#REF!</v>
      </c>
      <c r="E101" s="7" t="e">
        <f>IF(AND(12000000&lt;=F77,F77&lt;=12999999),12000000,0)</f>
        <v>#REF!</v>
      </c>
      <c r="F101" s="8"/>
      <c r="G101" s="8"/>
      <c r="H101" s="8"/>
      <c r="I101" s="8"/>
      <c r="J101" s="8"/>
      <c r="K101" s="8"/>
    </row>
    <row r="102" spans="1:11" ht="12" hidden="1" customHeight="1" x14ac:dyDescent="0.2">
      <c r="A102" s="5">
        <v>11</v>
      </c>
      <c r="B102" s="6"/>
      <c r="C102" s="6"/>
      <c r="D102" s="6" t="e">
        <f>IF(AND(11000000&lt;=F77,F77&lt;=11999999),"once millones ",0)</f>
        <v>#REF!</v>
      </c>
      <c r="E102" s="7" t="e">
        <f>IF(AND(11000000&lt;=F77,F77&lt;=11999999),11000000,0)</f>
        <v>#REF!</v>
      </c>
      <c r="F102" s="8"/>
      <c r="G102" s="8"/>
      <c r="H102" s="8"/>
      <c r="I102" s="8"/>
      <c r="J102" s="8"/>
      <c r="K102" s="8"/>
    </row>
    <row r="103" spans="1:11" ht="12" hidden="1" customHeight="1" x14ac:dyDescent="0.2">
      <c r="A103" s="9">
        <v>10</v>
      </c>
      <c r="B103" s="10"/>
      <c r="C103" s="10"/>
      <c r="D103" s="10" t="e">
        <f>IF(AND(10000000&lt;=F77,F77&lt;=10999999),"diez millones ",0)</f>
        <v>#REF!</v>
      </c>
      <c r="E103" s="11" t="e">
        <f>IF(AND(10000000&lt;=F77,F77&lt;=10999999),10000000,0)</f>
        <v>#REF!</v>
      </c>
      <c r="F103" s="12"/>
      <c r="G103" s="12"/>
      <c r="H103" s="12"/>
      <c r="I103" s="12"/>
      <c r="J103" s="12"/>
      <c r="K103" s="12"/>
    </row>
    <row r="104" spans="1:11" ht="12" hidden="1" customHeight="1" x14ac:dyDescent="0.2">
      <c r="A104" s="5"/>
      <c r="B104" s="6" t="e">
        <f>IF(E104=90000000,D90,IF(E104=80000000,D91,IF(E104=70000000,D92,IF(E104=60000000,D93,IF(E104=50000000,D94,IF(E104=40000000,D95,IF(E104=30000000,D96,"")))))))</f>
        <v>#REF!</v>
      </c>
      <c r="C104" s="6" t="e">
        <f>IF(E104=20000000,D97,IF(E104=15000000,D98,IF(E104=14000000,D99,IF(E104=13000000,D100,IF(E104=12000000,D101,IF(E104=11000000,D102,IF(E104=10000000,D103,"")))))))</f>
        <v>#REF!</v>
      </c>
      <c r="D104" s="6" t="e">
        <f>IF(E104&gt;20000000,B104,IF(E104&lt;30000000,C104,))</f>
        <v>#REF!</v>
      </c>
      <c r="E104" s="7" t="e">
        <f>E90+E91+E92+E93+E94+E95+E96+E97+E98+E99+E100+E101+E102+E103</f>
        <v>#REF!</v>
      </c>
      <c r="F104" s="8" t="e">
        <f>F88-E104</f>
        <v>#REF!</v>
      </c>
      <c r="G104" s="8"/>
      <c r="H104" s="8"/>
      <c r="I104" s="8"/>
      <c r="J104" s="8"/>
      <c r="K104" s="8" t="e">
        <f>K88-#REF!</f>
        <v>#REF!</v>
      </c>
    </row>
    <row r="105" spans="1:11" ht="12" hidden="1" customHeight="1" x14ac:dyDescent="0.2">
      <c r="A105" s="5"/>
      <c r="B105" s="6" t="e">
        <f>B88</f>
        <v>#REF!</v>
      </c>
      <c r="C105" s="6" t="e">
        <f>C88</f>
        <v>#REF!</v>
      </c>
      <c r="D105" s="6" t="e">
        <f>D88</f>
        <v>#REF!</v>
      </c>
      <c r="E105" s="7" t="e">
        <f>IF(E104&gt;=10000000,D104,IF(E116&lt;=10000000,D105))</f>
        <v>#REF!</v>
      </c>
      <c r="F105" s="8" t="e">
        <f>F104</f>
        <v>#REF!</v>
      </c>
      <c r="G105" s="8"/>
      <c r="H105" s="8"/>
      <c r="I105" s="8"/>
      <c r="J105" s="8"/>
      <c r="K105" s="8" t="e">
        <f>K104</f>
        <v>#REF!</v>
      </c>
    </row>
    <row r="106" spans="1:11" ht="12" hidden="1" customHeight="1" x14ac:dyDescent="0.2">
      <c r="A106" s="5" t="s">
        <v>16</v>
      </c>
      <c r="B106" s="6"/>
      <c r="C106" s="6"/>
      <c r="D106" s="6" t="s">
        <v>17</v>
      </c>
      <c r="E106" s="7" t="s">
        <v>18</v>
      </c>
      <c r="F106" s="8" t="s">
        <v>19</v>
      </c>
      <c r="G106" s="8"/>
      <c r="H106" s="8"/>
      <c r="I106" s="8"/>
      <c r="J106" s="8"/>
      <c r="K106" s="8" t="s">
        <v>19</v>
      </c>
    </row>
    <row r="107" spans="1:11" ht="12" hidden="1" customHeight="1" x14ac:dyDescent="0.2">
      <c r="A107" s="5">
        <v>9</v>
      </c>
      <c r="B107" s="6"/>
      <c r="C107" s="6"/>
      <c r="D107" s="6" t="e">
        <f>IF(AND(9000000&lt;=F105,F105&lt;=9999999),"nueve millones ",0)</f>
        <v>#REF!</v>
      </c>
      <c r="E107" s="7" t="e">
        <f>IF(AND(9000000&lt;=F105,F105&lt;=9999999),9000000,0)</f>
        <v>#REF!</v>
      </c>
      <c r="F107" s="8"/>
      <c r="G107" s="8"/>
      <c r="H107" s="8"/>
      <c r="I107" s="8"/>
      <c r="J107" s="8"/>
      <c r="K107" s="8"/>
    </row>
    <row r="108" spans="1:11" ht="12" hidden="1" customHeight="1" x14ac:dyDescent="0.2">
      <c r="A108" s="5">
        <v>8</v>
      </c>
      <c r="B108" s="6"/>
      <c r="C108" s="6"/>
      <c r="D108" s="6" t="e">
        <f>IF(AND(8000000&lt;=F105,F105&lt;=8999999),"ocho millones ",0)</f>
        <v>#REF!</v>
      </c>
      <c r="E108" s="7" t="e">
        <f>IF(AND(8000000&lt;=F105,F105&lt;=8999999),8000000,0)</f>
        <v>#REF!</v>
      </c>
      <c r="F108" s="8"/>
      <c r="G108" s="8"/>
      <c r="H108" s="8"/>
      <c r="I108" s="8"/>
      <c r="J108" s="8"/>
      <c r="K108" s="8"/>
    </row>
    <row r="109" spans="1:11" ht="12" hidden="1" customHeight="1" x14ac:dyDescent="0.2">
      <c r="A109" s="5">
        <v>7</v>
      </c>
      <c r="B109" s="6"/>
      <c r="C109" s="6"/>
      <c r="D109" s="6" t="e">
        <f>IF(AND(7000000&lt;=F105,F105&lt;=7999999),"siete millones ",0)</f>
        <v>#REF!</v>
      </c>
      <c r="E109" s="7" t="e">
        <f>IF(AND(7000000&lt;=F105,F105&lt;=7999999),7000000,0)</f>
        <v>#REF!</v>
      </c>
      <c r="F109" s="8"/>
      <c r="G109" s="8"/>
      <c r="H109" s="8"/>
      <c r="I109" s="8"/>
      <c r="J109" s="8"/>
      <c r="K109" s="8"/>
    </row>
    <row r="110" spans="1:11" ht="12" hidden="1" customHeight="1" x14ac:dyDescent="0.2">
      <c r="A110" s="5">
        <v>6</v>
      </c>
      <c r="B110" s="6"/>
      <c r="C110" s="6"/>
      <c r="D110" s="6" t="e">
        <f>IF(AND(6000000&lt;=F105,F105&lt;=6999999),"seis millones ",0)</f>
        <v>#REF!</v>
      </c>
      <c r="E110" s="7" t="e">
        <f>IF(AND(6000000&lt;=F105,F105&lt;=6999999),6000000,0)</f>
        <v>#REF!</v>
      </c>
      <c r="F110" s="8"/>
      <c r="G110" s="8"/>
      <c r="H110" s="8"/>
      <c r="I110" s="8"/>
      <c r="J110" s="8"/>
      <c r="K110" s="8"/>
    </row>
    <row r="111" spans="1:11" ht="12" hidden="1" customHeight="1" x14ac:dyDescent="0.2">
      <c r="A111" s="5">
        <v>5</v>
      </c>
      <c r="B111" s="6"/>
      <c r="C111" s="6"/>
      <c r="D111" s="6" t="e">
        <f>IF(AND(5000000&lt;=F105,F105&lt;=5999999),"cinco millones ",0)</f>
        <v>#REF!</v>
      </c>
      <c r="E111" s="7" t="e">
        <f>IF(AND(5000000&lt;=F105,F105&lt;=5999999),5000000,0)</f>
        <v>#REF!</v>
      </c>
      <c r="F111" s="8"/>
      <c r="G111" s="8"/>
      <c r="H111" s="8"/>
      <c r="I111" s="8"/>
      <c r="J111" s="8"/>
      <c r="K111" s="8"/>
    </row>
    <row r="112" spans="1:11" ht="12" hidden="1" customHeight="1" x14ac:dyDescent="0.2">
      <c r="A112" s="5">
        <v>4</v>
      </c>
      <c r="B112" s="6"/>
      <c r="C112" s="6"/>
      <c r="D112" s="6" t="e">
        <f>IF(AND(4000000&lt;=F105,F105&lt;=4999999),"cuatro millones ",0)</f>
        <v>#REF!</v>
      </c>
      <c r="E112" s="7" t="e">
        <f>IF(AND(4000000&lt;=F105,F105&lt;=4999999),4000000,0)</f>
        <v>#REF!</v>
      </c>
      <c r="F112" s="8"/>
      <c r="G112" s="8"/>
      <c r="H112" s="8"/>
      <c r="I112" s="8"/>
      <c r="J112" s="8"/>
      <c r="K112" s="8"/>
    </row>
    <row r="113" spans="1:11" ht="12" hidden="1" customHeight="1" x14ac:dyDescent="0.2">
      <c r="A113" s="5">
        <v>3</v>
      </c>
      <c r="B113" s="6"/>
      <c r="C113" s="6"/>
      <c r="D113" s="6" t="e">
        <f>IF(AND(3000000&lt;=F105,F105&lt;=3999999),"tres millones ",0)</f>
        <v>#REF!</v>
      </c>
      <c r="E113" s="7" t="e">
        <f>IF(AND(3000000&lt;=F105,F105&lt;=3999999),3000000,0)</f>
        <v>#REF!</v>
      </c>
      <c r="F113" s="8"/>
      <c r="G113" s="8"/>
      <c r="H113" s="8"/>
      <c r="I113" s="8"/>
      <c r="J113" s="8"/>
      <c r="K113" s="8"/>
    </row>
    <row r="114" spans="1:11" ht="12" hidden="1" customHeight="1" x14ac:dyDescent="0.2">
      <c r="A114" s="5">
        <v>2</v>
      </c>
      <c r="B114" s="6"/>
      <c r="C114" s="6"/>
      <c r="D114" s="6" t="e">
        <f>IF(AND(2000000&lt;=F105,F105&lt;=2999999),"dos millones ",0)</f>
        <v>#REF!</v>
      </c>
      <c r="E114" s="7" t="e">
        <f>IF(AND(2000000&lt;=F105,F105&lt;=2999999),2000000,0)</f>
        <v>#REF!</v>
      </c>
      <c r="F114" s="8"/>
      <c r="G114" s="8"/>
      <c r="H114" s="8"/>
      <c r="I114" s="8"/>
      <c r="J114" s="8"/>
      <c r="K114" s="8"/>
    </row>
    <row r="115" spans="1:11" ht="12" hidden="1" customHeight="1" x14ac:dyDescent="0.2">
      <c r="A115" s="9">
        <v>1</v>
      </c>
      <c r="B115" s="10"/>
      <c r="C115" s="10"/>
      <c r="D115" s="10" t="e">
        <f>IF(AND(1000000&lt;=F105,F105&lt;=1999999),"un millón ",0)</f>
        <v>#REF!</v>
      </c>
      <c r="E115" s="11" t="e">
        <f>IF(AND(1000000&lt;=F105,F105&lt;=1999999),1000000,0)</f>
        <v>#REF!</v>
      </c>
      <c r="F115" s="12"/>
      <c r="G115" s="12"/>
      <c r="H115" s="12"/>
      <c r="I115" s="12"/>
      <c r="J115" s="12"/>
      <c r="K115" s="12"/>
    </row>
    <row r="116" spans="1:11" ht="12" hidden="1" customHeight="1" x14ac:dyDescent="0.2">
      <c r="A116" s="5"/>
      <c r="B116" s="6" t="e">
        <f>IF(E116=9000000,D107,IF(E116=8000000,D108,IF(E116=7000000,D109,IF(E116=6000000,D110,IF(E116=5000000,D111,"")))))</f>
        <v>#REF!</v>
      </c>
      <c r="C116" s="6" t="e">
        <f>IF(E116=4000000,D112,IF(E116=3000000,D113,IF(E116=2000000,D114,IF(E116=1000000,D115,""))))</f>
        <v>#REF!</v>
      </c>
      <c r="D116" s="6" t="e">
        <f>IF(E116&gt;4000000,B116,IF(E116&lt;5000000,C116,))</f>
        <v>#REF!</v>
      </c>
      <c r="E116" s="7" t="e">
        <f>E107+E108+E109+E110+E111+E112+E113+E114+E115</f>
        <v>#REF!</v>
      </c>
      <c r="F116" s="8" t="e">
        <f>F105-E116</f>
        <v>#REF!</v>
      </c>
      <c r="G116" s="8"/>
      <c r="H116" s="8"/>
      <c r="I116" s="8"/>
      <c r="J116" s="8"/>
      <c r="K116" s="8" t="e">
        <f>K105-#REF!</f>
        <v>#REF!</v>
      </c>
    </row>
    <row r="117" spans="1:11" ht="12" hidden="1" customHeight="1" x14ac:dyDescent="0.2">
      <c r="A117" s="13"/>
      <c r="B117" s="14"/>
      <c r="C117" s="14"/>
      <c r="D117" s="14"/>
      <c r="E117" s="15"/>
      <c r="F117" s="8" t="e">
        <f>F116</f>
        <v>#REF!</v>
      </c>
      <c r="G117" s="8"/>
      <c r="H117" s="8"/>
      <c r="I117" s="8"/>
      <c r="J117" s="8"/>
      <c r="K117" s="8" t="e">
        <f>K116</f>
        <v>#REF!</v>
      </c>
    </row>
    <row r="118" spans="1:11" ht="12" hidden="1" customHeight="1" x14ac:dyDescent="0.2">
      <c r="A118" s="5" t="s">
        <v>16</v>
      </c>
      <c r="B118" s="6"/>
      <c r="C118" s="6"/>
      <c r="D118" s="6" t="s">
        <v>17</v>
      </c>
      <c r="E118" s="7" t="s">
        <v>18</v>
      </c>
      <c r="F118" s="8" t="s">
        <v>19</v>
      </c>
      <c r="G118" s="8"/>
      <c r="H118" s="8"/>
      <c r="I118" s="8"/>
      <c r="J118" s="8"/>
      <c r="K118" s="8" t="s">
        <v>19</v>
      </c>
    </row>
    <row r="119" spans="1:11" ht="12" hidden="1" customHeight="1" x14ac:dyDescent="0.2">
      <c r="A119" s="5">
        <v>900000</v>
      </c>
      <c r="B119" s="6"/>
      <c r="C119" s="6"/>
      <c r="D119" s="6" t="e">
        <f>IF(AND(901000&lt;=F117,F117&lt;=999999),"novecientos ",0)</f>
        <v>#REF!</v>
      </c>
      <c r="E119" s="7" t="e">
        <f>IF(AND(901000&lt;=F117,F117&lt;=999999),900000,0)</f>
        <v>#REF!</v>
      </c>
      <c r="F119" s="8"/>
      <c r="G119" s="8"/>
      <c r="H119" s="8"/>
      <c r="I119" s="8"/>
      <c r="J119" s="8"/>
      <c r="K119" s="8"/>
    </row>
    <row r="120" spans="1:11" ht="12" hidden="1" customHeight="1" x14ac:dyDescent="0.2">
      <c r="A120" s="5">
        <v>800000</v>
      </c>
      <c r="B120" s="6"/>
      <c r="C120" s="6"/>
      <c r="D120" s="6" t="e">
        <f>IF(AND(801000&lt;=F117,F117&lt;=899999),"ochocientos ",0)</f>
        <v>#REF!</v>
      </c>
      <c r="E120" s="7" t="e">
        <f>IF(AND(801000&lt;=F117,F117&lt;=899999),800000,0)</f>
        <v>#REF!</v>
      </c>
      <c r="F120" s="8"/>
      <c r="G120" s="8"/>
      <c r="H120" s="8"/>
      <c r="I120" s="8"/>
      <c r="J120" s="8"/>
      <c r="K120" s="8"/>
    </row>
    <row r="121" spans="1:11" ht="12" hidden="1" customHeight="1" x14ac:dyDescent="0.2">
      <c r="A121" s="5">
        <v>700000</v>
      </c>
      <c r="B121" s="6"/>
      <c r="C121" s="6"/>
      <c r="D121" s="6" t="e">
        <f>IF(AND(701000&lt;=F117,F117&lt;=799999),"setecientos ",0)</f>
        <v>#REF!</v>
      </c>
      <c r="E121" s="7" t="e">
        <f>IF(AND(701000&lt;=F117,F117&lt;=799999),700000,0)</f>
        <v>#REF!</v>
      </c>
      <c r="F121" s="8"/>
      <c r="G121" s="8"/>
      <c r="H121" s="8"/>
      <c r="I121" s="8"/>
      <c r="J121" s="8"/>
      <c r="K121" s="8"/>
    </row>
    <row r="122" spans="1:11" ht="12" hidden="1" customHeight="1" x14ac:dyDescent="0.2">
      <c r="A122" s="5">
        <v>600000</v>
      </c>
      <c r="B122" s="6"/>
      <c r="C122" s="6"/>
      <c r="D122" s="6" t="e">
        <f>IF(AND(601000&lt;=F117,F117&lt;=699999),"seicientos ",0)</f>
        <v>#REF!</v>
      </c>
      <c r="E122" s="7" t="e">
        <f>IF(AND(601000&lt;=F117,F117&lt;=699999),600000,0)</f>
        <v>#REF!</v>
      </c>
      <c r="F122" s="8"/>
      <c r="G122" s="8"/>
      <c r="H122" s="8"/>
      <c r="I122" s="8"/>
      <c r="J122" s="8"/>
      <c r="K122" s="8"/>
    </row>
    <row r="123" spans="1:11" ht="12" hidden="1" customHeight="1" x14ac:dyDescent="0.2">
      <c r="A123" s="5">
        <v>500000</v>
      </c>
      <c r="B123" s="6"/>
      <c r="C123" s="6"/>
      <c r="D123" s="6" t="e">
        <f>IF(AND(501000&lt;=F117,F117&lt;=599999),"quinientos ",0)</f>
        <v>#REF!</v>
      </c>
      <c r="E123" s="7" t="e">
        <f>IF(AND(501000&lt;=F117,F117&lt;=599999),500000,0)</f>
        <v>#REF!</v>
      </c>
      <c r="F123" s="8"/>
      <c r="G123" s="8"/>
      <c r="H123" s="8"/>
      <c r="I123" s="8"/>
      <c r="J123" s="8"/>
      <c r="K123" s="8"/>
    </row>
    <row r="124" spans="1:11" ht="12" hidden="1" customHeight="1" x14ac:dyDescent="0.2">
      <c r="A124" s="5">
        <v>400000</v>
      </c>
      <c r="B124" s="6"/>
      <c r="C124" s="6"/>
      <c r="D124" s="6" t="e">
        <f>IF(AND(401000&lt;=F117,F117&lt;=499999),"cuatrocientos ",0)</f>
        <v>#REF!</v>
      </c>
      <c r="E124" s="7" t="e">
        <f>IF(AND(401000&lt;=F117,F117&lt;=499999),400000,0)</f>
        <v>#REF!</v>
      </c>
      <c r="F124" s="8"/>
      <c r="G124" s="8"/>
      <c r="H124" s="8"/>
      <c r="I124" s="8"/>
      <c r="J124" s="8"/>
      <c r="K124" s="8"/>
    </row>
    <row r="125" spans="1:11" ht="12" hidden="1" customHeight="1" x14ac:dyDescent="0.2">
      <c r="A125" s="5">
        <v>300000</v>
      </c>
      <c r="B125" s="6"/>
      <c r="C125" s="6"/>
      <c r="D125" s="6" t="e">
        <f>IF(AND(301000&lt;=F117,F117&lt;=399999),"trescientos ",0)</f>
        <v>#REF!</v>
      </c>
      <c r="E125" s="7" t="e">
        <f>IF(AND(301000&lt;=F117,F117&lt;=399999),300000,0)</f>
        <v>#REF!</v>
      </c>
      <c r="F125" s="8"/>
      <c r="G125" s="8"/>
      <c r="H125" s="8"/>
      <c r="I125" s="8"/>
      <c r="J125" s="8"/>
      <c r="K125" s="8"/>
    </row>
    <row r="126" spans="1:11" ht="12" hidden="1" customHeight="1" x14ac:dyDescent="0.2">
      <c r="A126" s="5">
        <v>200000</v>
      </c>
      <c r="B126" s="6"/>
      <c r="C126" s="6"/>
      <c r="D126" s="6" t="e">
        <f>IF(AND(201000&lt;=F117,F117&lt;=299999),"doscientos ",0)</f>
        <v>#REF!</v>
      </c>
      <c r="E126" s="7" t="e">
        <f>IF(AND(201000&lt;=F117,F117&lt;=299999),200000,0)</f>
        <v>#REF!</v>
      </c>
      <c r="F126" s="8"/>
      <c r="G126" s="8"/>
      <c r="H126" s="8"/>
      <c r="I126" s="8"/>
      <c r="J126" s="8"/>
      <c r="K126" s="8"/>
    </row>
    <row r="127" spans="1:11" ht="12" hidden="1" customHeight="1" x14ac:dyDescent="0.2">
      <c r="A127" s="9">
        <v>100000</v>
      </c>
      <c r="B127" s="10"/>
      <c r="C127" s="10"/>
      <c r="D127" s="10" t="e">
        <f>IF(AND(101000&lt;=F117,F117&lt;=199999),"ciento ",0)</f>
        <v>#REF!</v>
      </c>
      <c r="E127" s="11" t="e">
        <f>IF(AND(101000&lt;=F117,F117&lt;=199999),100000,0)</f>
        <v>#REF!</v>
      </c>
      <c r="F127" s="12"/>
      <c r="G127" s="12"/>
      <c r="H127" s="12"/>
      <c r="I127" s="12"/>
      <c r="J127" s="12"/>
      <c r="K127" s="12"/>
    </row>
    <row r="128" spans="1:11" ht="12" hidden="1" customHeight="1" x14ac:dyDescent="0.2">
      <c r="A128" s="5"/>
      <c r="B128" s="6" t="e">
        <f>IF(E128=900000,D119,IF(E128=800000,D120,IF(E128=700000,D121,IF(E128=600000,D122,IF(E128=500000,D123,"")))))</f>
        <v>#REF!</v>
      </c>
      <c r="C128" s="6" t="e">
        <f>IF(E128=400000,D124,IF(E128=300000,D125,IF(E128=200000,D126,IF(E128=100000,D127,""))))</f>
        <v>#REF!</v>
      </c>
      <c r="D128" s="6" t="e">
        <f>IF(E128&gt;400000,B128,IF(E128&lt;500000,C128,""))</f>
        <v>#REF!</v>
      </c>
      <c r="E128" s="7" t="e">
        <f>E119+E120+E121+E122+E123+E124+E125+E126+E127</f>
        <v>#REF!</v>
      </c>
      <c r="F128" s="8" t="e">
        <f>F117-E128</f>
        <v>#REF!</v>
      </c>
      <c r="G128" s="8"/>
      <c r="H128" s="8"/>
      <c r="I128" s="8"/>
      <c r="J128" s="8"/>
      <c r="K128" s="8" t="e">
        <f>K117-#REF!</f>
        <v>#REF!</v>
      </c>
    </row>
    <row r="129" spans="1:11" ht="12" hidden="1" customHeight="1" x14ac:dyDescent="0.2">
      <c r="A129" s="5" t="s">
        <v>16</v>
      </c>
      <c r="B129" s="6"/>
      <c r="C129" s="6"/>
      <c r="D129" s="6" t="s">
        <v>17</v>
      </c>
      <c r="E129" s="7" t="s">
        <v>18</v>
      </c>
      <c r="F129" s="8" t="s">
        <v>19</v>
      </c>
      <c r="G129" s="8"/>
      <c r="H129" s="8"/>
      <c r="I129" s="8"/>
      <c r="J129" s="8"/>
      <c r="K129" s="8" t="s">
        <v>19</v>
      </c>
    </row>
    <row r="130" spans="1:11" ht="12" hidden="1" customHeight="1" x14ac:dyDescent="0.2">
      <c r="A130" s="5">
        <v>900000</v>
      </c>
      <c r="B130" s="6"/>
      <c r="C130" s="6"/>
      <c r="D130" s="6" t="e">
        <f>IF(AND(900000&lt;=F117,F117&lt;=900999),"novcientos mil ",0)</f>
        <v>#REF!</v>
      </c>
      <c r="E130" s="7" t="e">
        <f>IF(AND(900000&lt;=F117,F117&lt;=900999),900000,0)</f>
        <v>#REF!</v>
      </c>
      <c r="F130" s="8"/>
      <c r="G130" s="8"/>
      <c r="H130" s="8"/>
      <c r="I130" s="8"/>
      <c r="J130" s="8"/>
      <c r="K130" s="8"/>
    </row>
    <row r="131" spans="1:11" ht="12" hidden="1" customHeight="1" x14ac:dyDescent="0.2">
      <c r="A131" s="5">
        <v>800000</v>
      </c>
      <c r="B131" s="6"/>
      <c r="C131" s="6"/>
      <c r="D131" s="6" t="e">
        <f>IF(AND(800000&lt;=F117,F117&lt;=800999),"ochocientos mil ",0)</f>
        <v>#REF!</v>
      </c>
      <c r="E131" s="7" t="e">
        <f>IF(AND(800000&lt;=F117,F117&lt;=800999),800000,0)</f>
        <v>#REF!</v>
      </c>
      <c r="F131" s="8"/>
      <c r="G131" s="8"/>
      <c r="H131" s="8"/>
      <c r="I131" s="8"/>
      <c r="J131" s="8"/>
      <c r="K131" s="8"/>
    </row>
    <row r="132" spans="1:11" ht="12" hidden="1" customHeight="1" x14ac:dyDescent="0.2">
      <c r="A132" s="5">
        <v>700000</v>
      </c>
      <c r="B132" s="6"/>
      <c r="C132" s="6"/>
      <c r="D132" s="6" t="e">
        <f>IF(AND(700000&lt;=F117,F117&lt;=700999),"setecientos mil ",0)</f>
        <v>#REF!</v>
      </c>
      <c r="E132" s="7" t="e">
        <f>IF(AND(700000&lt;=F117,F117&lt;=700999),700000,0)</f>
        <v>#REF!</v>
      </c>
      <c r="F132" s="8"/>
      <c r="G132" s="8"/>
      <c r="H132" s="8"/>
      <c r="I132" s="8"/>
      <c r="J132" s="8"/>
      <c r="K132" s="8"/>
    </row>
    <row r="133" spans="1:11" ht="12" hidden="1" customHeight="1" x14ac:dyDescent="0.2">
      <c r="A133" s="5">
        <v>600000</v>
      </c>
      <c r="B133" s="6"/>
      <c r="C133" s="6"/>
      <c r="D133" s="6" t="e">
        <f>IF(AND(600000&lt;=F117,F117&lt;=600999),"seiscientos mil ",0)</f>
        <v>#REF!</v>
      </c>
      <c r="E133" s="7" t="e">
        <f>IF(AND(600000&lt;=F117,F117&lt;=600999),600000,0)</f>
        <v>#REF!</v>
      </c>
      <c r="F133" s="8"/>
      <c r="G133" s="8"/>
      <c r="H133" s="8"/>
      <c r="I133" s="8"/>
      <c r="J133" s="8"/>
      <c r="K133" s="8"/>
    </row>
    <row r="134" spans="1:11" ht="12" hidden="1" customHeight="1" x14ac:dyDescent="0.2">
      <c r="A134" s="5">
        <v>500000</v>
      </c>
      <c r="B134" s="6"/>
      <c r="C134" s="6"/>
      <c r="D134" s="6" t="e">
        <f>IF(AND(500000&lt;=F117,F117&lt;=500999),"quinientos mil ",0)</f>
        <v>#REF!</v>
      </c>
      <c r="E134" s="7" t="e">
        <f>IF(AND(500000&lt;=F117,F117&lt;=500999),500000,0)</f>
        <v>#REF!</v>
      </c>
      <c r="F134" s="8"/>
      <c r="G134" s="8"/>
      <c r="H134" s="8"/>
      <c r="I134" s="8"/>
      <c r="J134" s="8"/>
      <c r="K134" s="8"/>
    </row>
    <row r="135" spans="1:11" ht="12" hidden="1" customHeight="1" x14ac:dyDescent="0.2">
      <c r="A135" s="5">
        <v>400000</v>
      </c>
      <c r="B135" s="6"/>
      <c r="C135" s="6"/>
      <c r="D135" s="6" t="e">
        <f>IF(AND(400000&lt;=F117,F117&lt;=400999),"cuatrocientos mil ",0)</f>
        <v>#REF!</v>
      </c>
      <c r="E135" s="7" t="e">
        <f>IF(AND(400000&lt;=F117,F117&lt;=400999),400000,0)</f>
        <v>#REF!</v>
      </c>
      <c r="F135" s="8"/>
      <c r="G135" s="8"/>
      <c r="H135" s="8"/>
      <c r="I135" s="8"/>
      <c r="J135" s="8"/>
      <c r="K135" s="8"/>
    </row>
    <row r="136" spans="1:11" ht="12" hidden="1" customHeight="1" x14ac:dyDescent="0.2">
      <c r="A136" s="5">
        <v>300000</v>
      </c>
      <c r="B136" s="6"/>
      <c r="C136" s="6"/>
      <c r="D136" s="6" t="e">
        <f>IF(AND(300000&lt;=F117,F117&lt;=300999),"trescientos mil ",0)</f>
        <v>#REF!</v>
      </c>
      <c r="E136" s="7" t="e">
        <f>IF(AND(300000&lt;=F117,F117&lt;=300999),300000,0)</f>
        <v>#REF!</v>
      </c>
      <c r="F136" s="8"/>
      <c r="G136" s="8"/>
      <c r="H136" s="8"/>
      <c r="I136" s="8"/>
      <c r="J136" s="8"/>
      <c r="K136" s="8"/>
    </row>
    <row r="137" spans="1:11" ht="12" hidden="1" customHeight="1" x14ac:dyDescent="0.2">
      <c r="A137" s="5">
        <v>200000</v>
      </c>
      <c r="B137" s="6"/>
      <c r="C137" s="6"/>
      <c r="D137" s="6" t="e">
        <f>IF(AND(200000&lt;=F117,F117&lt;=200999),"doscientos mil ",0)</f>
        <v>#REF!</v>
      </c>
      <c r="E137" s="7" t="e">
        <f>IF(AND(200000&lt;=F117,F117&lt;=200999),200000,0)</f>
        <v>#REF!</v>
      </c>
      <c r="F137" s="8"/>
      <c r="G137" s="8"/>
      <c r="H137" s="8"/>
      <c r="I137" s="8"/>
      <c r="J137" s="8"/>
      <c r="K137" s="8"/>
    </row>
    <row r="138" spans="1:11" ht="12" hidden="1" customHeight="1" x14ac:dyDescent="0.2">
      <c r="A138" s="9">
        <v>100000</v>
      </c>
      <c r="B138" s="10"/>
      <c r="C138" s="10"/>
      <c r="D138" s="10" t="e">
        <f>IF(AND(100000&lt;=F117,F117&lt;=100999),"cien mil ",0)</f>
        <v>#REF!</v>
      </c>
      <c r="E138" s="11" t="e">
        <f>IF(AND(100000&lt;=F117,F117&lt;=100999),100000,0)</f>
        <v>#REF!</v>
      </c>
      <c r="F138" s="12"/>
      <c r="G138" s="12"/>
      <c r="H138" s="12"/>
      <c r="I138" s="12"/>
      <c r="J138" s="12"/>
      <c r="K138" s="12"/>
    </row>
    <row r="139" spans="1:11" ht="12" hidden="1" customHeight="1" x14ac:dyDescent="0.2">
      <c r="A139" s="5"/>
      <c r="B139" s="6" t="e">
        <f>IF(E139=900000,D130,IF(E139=800000,D131,IF(E139=700000,D132,IF(E139=600000,D133,IF(E139=500000,D134,"")))))</f>
        <v>#REF!</v>
      </c>
      <c r="C139" s="6" t="e">
        <f>IF(E139=400000,D135,IF(E139=300000,D136,IF(E139=200000,D137,IF(E139=100000,D138,""))))</f>
        <v>#REF!</v>
      </c>
      <c r="D139" s="6" t="e">
        <f>IF(E139&gt;400000,B139,IF(E139&lt;500000,C139,))</f>
        <v>#REF!</v>
      </c>
      <c r="E139" s="7" t="e">
        <f>E130+E131+E132+E133+E134+E135+E136+E137+E138</f>
        <v>#REF!</v>
      </c>
      <c r="F139" s="8" t="e">
        <f>F128-E139</f>
        <v>#REF!</v>
      </c>
      <c r="G139" s="8"/>
      <c r="H139" s="8"/>
      <c r="I139" s="8"/>
      <c r="J139" s="8"/>
      <c r="K139" s="8" t="e">
        <f>K128-#REF!</f>
        <v>#REF!</v>
      </c>
    </row>
    <row r="140" spans="1:11" ht="12" hidden="1" customHeight="1" x14ac:dyDescent="0.2">
      <c r="A140" s="5" t="s">
        <v>16</v>
      </c>
      <c r="B140" s="6"/>
      <c r="C140" s="6"/>
      <c r="D140" s="6" t="s">
        <v>17</v>
      </c>
      <c r="E140" s="7" t="s">
        <v>18</v>
      </c>
      <c r="F140" s="8" t="s">
        <v>19</v>
      </c>
      <c r="G140" s="8"/>
      <c r="H140" s="8"/>
      <c r="I140" s="8"/>
      <c r="J140" s="8"/>
      <c r="K140" s="8" t="s">
        <v>19</v>
      </c>
    </row>
    <row r="141" spans="1:11" ht="12" hidden="1" customHeight="1" x14ac:dyDescent="0.2">
      <c r="A141" s="5">
        <v>90000</v>
      </c>
      <c r="B141" s="6"/>
      <c r="C141" s="6"/>
      <c r="D141" s="6" t="e">
        <f>IF(AND(91000&lt;=F139,F139&lt;=99999),"noventa y ",)</f>
        <v>#REF!</v>
      </c>
      <c r="E141" s="7" t="e">
        <f>IF(AND(91000&lt;=F139,F139&lt;=99999),90000,0)</f>
        <v>#REF!</v>
      </c>
      <c r="F141" s="8"/>
      <c r="G141" s="8"/>
      <c r="H141" s="8"/>
      <c r="I141" s="8"/>
      <c r="J141" s="8"/>
      <c r="K141" s="8"/>
    </row>
    <row r="142" spans="1:11" ht="12" hidden="1" customHeight="1" x14ac:dyDescent="0.2">
      <c r="A142" s="5">
        <v>80000</v>
      </c>
      <c r="B142" s="6"/>
      <c r="C142" s="6"/>
      <c r="D142" s="6" t="e">
        <f>IF(AND(81000&lt;=F139,F139&lt;=89999),"ochenta y ",0)</f>
        <v>#REF!</v>
      </c>
      <c r="E142" s="7" t="e">
        <f>IF(AND(81000&lt;=F139,F139&lt;=89999),80000,0)</f>
        <v>#REF!</v>
      </c>
      <c r="F142" s="8"/>
      <c r="G142" s="8"/>
      <c r="H142" s="8"/>
      <c r="I142" s="8"/>
      <c r="J142" s="8"/>
      <c r="K142" s="8"/>
    </row>
    <row r="143" spans="1:11" ht="12" hidden="1" customHeight="1" x14ac:dyDescent="0.2">
      <c r="A143" s="5">
        <v>70000</v>
      </c>
      <c r="B143" s="6"/>
      <c r="C143" s="6"/>
      <c r="D143" s="6" t="e">
        <f>IF(AND(71000&lt;=F139,F139&lt;=79999),"setenta y ",0)</f>
        <v>#REF!</v>
      </c>
      <c r="E143" s="7" t="e">
        <f>IF(AND(71000&lt;=F139,F139&lt;=79999),70000,0)</f>
        <v>#REF!</v>
      </c>
      <c r="F143" s="8"/>
      <c r="G143" s="8"/>
      <c r="H143" s="8"/>
      <c r="I143" s="8"/>
      <c r="J143" s="8"/>
      <c r="K143" s="8"/>
    </row>
    <row r="144" spans="1:11" ht="12" hidden="1" customHeight="1" x14ac:dyDescent="0.2">
      <c r="A144" s="5">
        <v>60000</v>
      </c>
      <c r="B144" s="6"/>
      <c r="C144" s="6"/>
      <c r="D144" s="6" t="e">
        <f>IF(AND(61000&lt;=F139,F139&lt;=69999),"sesenta y ",0)</f>
        <v>#REF!</v>
      </c>
      <c r="E144" s="7" t="e">
        <f>IF(AND(61000&lt;=F139,F139&lt;=69999),60000,0)</f>
        <v>#REF!</v>
      </c>
      <c r="F144" s="8"/>
      <c r="G144" s="8"/>
      <c r="H144" s="8"/>
      <c r="I144" s="8"/>
      <c r="J144" s="8"/>
      <c r="K144" s="8"/>
    </row>
    <row r="145" spans="1:11" ht="12" hidden="1" customHeight="1" x14ac:dyDescent="0.2">
      <c r="A145" s="5">
        <v>50000</v>
      </c>
      <c r="B145" s="6"/>
      <c r="C145" s="6"/>
      <c r="D145" s="6" t="e">
        <f>IF(AND(51000&lt;=F139,F139&lt;=59999),"cincuenta y ",0)</f>
        <v>#REF!</v>
      </c>
      <c r="E145" s="7" t="e">
        <f>IF(AND(51000&lt;=F139,F139&lt;=59999),50000,0)</f>
        <v>#REF!</v>
      </c>
      <c r="F145" s="8"/>
      <c r="G145" s="8"/>
      <c r="H145" s="8"/>
      <c r="I145" s="8"/>
      <c r="J145" s="8"/>
      <c r="K145" s="8"/>
    </row>
    <row r="146" spans="1:11" ht="12" hidden="1" customHeight="1" x14ac:dyDescent="0.2">
      <c r="A146" s="5">
        <v>40000</v>
      </c>
      <c r="B146" s="6"/>
      <c r="C146" s="6"/>
      <c r="D146" s="6" t="e">
        <f>IF(AND(41000&lt;=F139,F139&lt;=49999),"cuarenta y ",0)</f>
        <v>#REF!</v>
      </c>
      <c r="E146" s="7" t="e">
        <f>IF(AND(41000&lt;=F139,F139&lt;=49999),40000,0)</f>
        <v>#REF!</v>
      </c>
      <c r="F146" s="8"/>
      <c r="G146" s="8"/>
      <c r="H146" s="8"/>
      <c r="I146" s="8"/>
      <c r="J146" s="8"/>
      <c r="K146" s="8"/>
    </row>
    <row r="147" spans="1:11" ht="12" hidden="1" customHeight="1" x14ac:dyDescent="0.2">
      <c r="A147" s="5">
        <v>30000</v>
      </c>
      <c r="B147" s="6"/>
      <c r="C147" s="6"/>
      <c r="D147" s="6" t="e">
        <f>IF(AND(31000&lt;=F139,F139&lt;=39999),"treinta y ",0)</f>
        <v>#REF!</v>
      </c>
      <c r="E147" s="7" t="e">
        <f>IF(AND(31000&lt;=F139,F139&lt;=39999),30000,0)</f>
        <v>#REF!</v>
      </c>
      <c r="F147" s="8"/>
      <c r="G147" s="8"/>
      <c r="H147" s="8"/>
      <c r="I147" s="8"/>
      <c r="J147" s="8"/>
      <c r="K147" s="8"/>
    </row>
    <row r="148" spans="1:11" ht="12" hidden="1" customHeight="1" x14ac:dyDescent="0.2">
      <c r="A148" s="5">
        <v>20000</v>
      </c>
      <c r="B148" s="6"/>
      <c r="C148" s="6"/>
      <c r="D148" s="6" t="e">
        <f>IF(AND(21000&lt;=F139,F139&lt;=29999),"veinti",0)</f>
        <v>#REF!</v>
      </c>
      <c r="E148" s="7" t="e">
        <f>IF(AND(21000&lt;=F139,F139&lt;=29999),20000,0)</f>
        <v>#REF!</v>
      </c>
      <c r="F148" s="8"/>
      <c r="G148" s="8"/>
      <c r="H148" s="8"/>
      <c r="I148" s="8"/>
      <c r="J148" s="8"/>
      <c r="K148" s="8"/>
    </row>
    <row r="149" spans="1:11" ht="12" hidden="1" customHeight="1" x14ac:dyDescent="0.2">
      <c r="A149" s="9">
        <v>16000</v>
      </c>
      <c r="B149" s="10"/>
      <c r="C149" s="10"/>
      <c r="D149" s="10" t="e">
        <f>IF(AND(16000&lt;=F139,F139&lt;=19999),"dieci",0)</f>
        <v>#REF!</v>
      </c>
      <c r="E149" s="11" t="e">
        <f>IF(AND(16000&lt;=F139,F139&lt;=19999),10000,0)</f>
        <v>#REF!</v>
      </c>
      <c r="F149" s="12"/>
      <c r="G149" s="12"/>
      <c r="H149" s="12"/>
      <c r="I149" s="12"/>
      <c r="J149" s="12"/>
      <c r="K149" s="12"/>
    </row>
    <row r="150" spans="1:11" ht="12" hidden="1" customHeight="1" x14ac:dyDescent="0.2">
      <c r="A150" s="5"/>
      <c r="B150" s="6" t="e">
        <f>IF(E150=90000,D141,IF(E150=80000,D142,IF(E150=70000,D143,IF(E150=60000,D144,IF(E150=50000,D145,"")))))</f>
        <v>#REF!</v>
      </c>
      <c r="C150" s="6" t="e">
        <f>IF(E150=40000,D146,IF(E150=30000,D147,IF(E150=20000,D148,IF(E150=10000,D149,""))))</f>
        <v>#REF!</v>
      </c>
      <c r="D150" s="6" t="e">
        <f>IF(E150&gt;40000,B150,IF(E150&lt;50000,C150,""))</f>
        <v>#REF!</v>
      </c>
      <c r="E150" s="7" t="e">
        <f>E141+E142+E143+E144+E145+E146+E147+E148+E149</f>
        <v>#REF!</v>
      </c>
      <c r="F150" s="8" t="e">
        <f>F139-E150</f>
        <v>#REF!</v>
      </c>
      <c r="G150" s="8"/>
      <c r="H150" s="8"/>
      <c r="I150" s="8"/>
      <c r="J150" s="8"/>
      <c r="K150" s="8" t="e">
        <f>K139-#REF!</f>
        <v>#REF!</v>
      </c>
    </row>
    <row r="151" spans="1:11" ht="12" hidden="1" customHeight="1" x14ac:dyDescent="0.2">
      <c r="A151" s="5" t="s">
        <v>16</v>
      </c>
      <c r="B151" s="6"/>
      <c r="C151" s="6"/>
      <c r="D151" s="6" t="s">
        <v>17</v>
      </c>
      <c r="E151" s="7" t="s">
        <v>18</v>
      </c>
      <c r="F151" s="8" t="s">
        <v>19</v>
      </c>
      <c r="G151" s="8"/>
      <c r="H151" s="8"/>
      <c r="I151" s="8"/>
      <c r="J151" s="8"/>
      <c r="K151" s="8" t="s">
        <v>19</v>
      </c>
    </row>
    <row r="152" spans="1:11" ht="12" hidden="1" customHeight="1" x14ac:dyDescent="0.2">
      <c r="A152" s="5">
        <v>90000</v>
      </c>
      <c r="B152" s="6"/>
      <c r="C152" s="6"/>
      <c r="D152" s="6" t="e">
        <f>IF(AND(90000&lt;=F139,F139&lt;=90999),"noventa mil ",0)</f>
        <v>#REF!</v>
      </c>
      <c r="E152" s="7" t="e">
        <f>IF(AND(90000&lt;=F139,F139&lt;=90999),90000,0)</f>
        <v>#REF!</v>
      </c>
      <c r="F152" s="8"/>
      <c r="G152" s="8"/>
      <c r="H152" s="8"/>
      <c r="I152" s="8"/>
      <c r="J152" s="8"/>
      <c r="K152" s="8"/>
    </row>
    <row r="153" spans="1:11" ht="12" hidden="1" customHeight="1" x14ac:dyDescent="0.2">
      <c r="A153" s="5">
        <v>80000</v>
      </c>
      <c r="B153" s="6"/>
      <c r="C153" s="6"/>
      <c r="D153" s="6" t="e">
        <f>IF(AND(80000&lt;=F139,F139&lt;=80999),"ochenta mil ",0)</f>
        <v>#REF!</v>
      </c>
      <c r="E153" s="7" t="e">
        <f>IF(AND(80000&lt;=F139,F139&lt;=80999),80000,0)</f>
        <v>#REF!</v>
      </c>
      <c r="F153" s="8"/>
      <c r="G153" s="8"/>
      <c r="H153" s="8"/>
      <c r="I153" s="8"/>
      <c r="J153" s="8"/>
      <c r="K153" s="8"/>
    </row>
    <row r="154" spans="1:11" ht="12" hidden="1" customHeight="1" x14ac:dyDescent="0.2">
      <c r="A154" s="5">
        <v>70000</v>
      </c>
      <c r="B154" s="6"/>
      <c r="C154" s="6"/>
      <c r="D154" s="6" t="e">
        <f>IF(AND(70000&lt;=F139,F139&lt;=70999),"setenta mil ",0)</f>
        <v>#REF!</v>
      </c>
      <c r="E154" s="7" t="e">
        <f>IF(AND(70000&lt;=F139,F139&lt;=70999),70000,0)</f>
        <v>#REF!</v>
      </c>
      <c r="F154" s="8"/>
      <c r="G154" s="8"/>
      <c r="H154" s="8"/>
      <c r="I154" s="8"/>
      <c r="J154" s="8"/>
      <c r="K154" s="8"/>
    </row>
    <row r="155" spans="1:11" ht="12" hidden="1" customHeight="1" x14ac:dyDescent="0.2">
      <c r="A155" s="5">
        <v>60000</v>
      </c>
      <c r="B155" s="6"/>
      <c r="C155" s="6"/>
      <c r="D155" s="6" t="e">
        <f>IF(AND(60000&lt;=F139,F139&lt;=60999),"sesenta mil ",0)</f>
        <v>#REF!</v>
      </c>
      <c r="E155" s="7" t="e">
        <f>IF(AND(60000&lt;=F139,F139&lt;=60999),60000,0)</f>
        <v>#REF!</v>
      </c>
      <c r="F155" s="8"/>
      <c r="G155" s="8"/>
      <c r="H155" s="8"/>
      <c r="I155" s="8"/>
      <c r="J155" s="8"/>
      <c r="K155" s="8"/>
    </row>
    <row r="156" spans="1:11" ht="12" hidden="1" customHeight="1" x14ac:dyDescent="0.2">
      <c r="A156" s="5">
        <v>50000</v>
      </c>
      <c r="B156" s="6"/>
      <c r="C156" s="6"/>
      <c r="D156" s="6" t="e">
        <f>IF(AND(50000&lt;=F139,F139&lt;=50999),"cincuenta mil ",0)</f>
        <v>#REF!</v>
      </c>
      <c r="E156" s="7" t="e">
        <f>IF(AND(50000&lt;=F139,F139&lt;=50999),50000,0)</f>
        <v>#REF!</v>
      </c>
      <c r="F156" s="8"/>
      <c r="G156" s="8"/>
      <c r="H156" s="8"/>
      <c r="I156" s="8"/>
      <c r="J156" s="8"/>
      <c r="K156" s="8"/>
    </row>
    <row r="157" spans="1:11" ht="12" hidden="1" customHeight="1" x14ac:dyDescent="0.2">
      <c r="A157" s="5">
        <v>40000</v>
      </c>
      <c r="B157" s="6"/>
      <c r="C157" s="6"/>
      <c r="D157" s="6" t="e">
        <f>IF(AND(40000&lt;=F139,F139&lt;=40999),"cuarenta mil ",0)</f>
        <v>#REF!</v>
      </c>
      <c r="E157" s="7" t="e">
        <f>IF(AND(40000&lt;=F139,F139&lt;=40999),40000,0)</f>
        <v>#REF!</v>
      </c>
      <c r="F157" s="8"/>
      <c r="G157" s="8"/>
      <c r="H157" s="8"/>
      <c r="I157" s="8"/>
      <c r="J157" s="8"/>
      <c r="K157" s="8"/>
    </row>
    <row r="158" spans="1:11" ht="12" hidden="1" customHeight="1" x14ac:dyDescent="0.2">
      <c r="A158" s="5">
        <v>30000</v>
      </c>
      <c r="B158" s="6"/>
      <c r="C158" s="6"/>
      <c r="D158" s="6" t="e">
        <f>IF(AND(30000&lt;=F139,F139&lt;=30999),"treinta mil ",0)</f>
        <v>#REF!</v>
      </c>
      <c r="E158" s="7" t="e">
        <f>IF(AND(30000&lt;=F139,F139&lt;=30999),30000,0)</f>
        <v>#REF!</v>
      </c>
      <c r="F158" s="8"/>
      <c r="G158" s="8"/>
      <c r="H158" s="8"/>
      <c r="I158" s="8"/>
      <c r="J158" s="8"/>
      <c r="K158" s="8"/>
    </row>
    <row r="159" spans="1:11" ht="12" hidden="1" customHeight="1" x14ac:dyDescent="0.2">
      <c r="A159" s="5">
        <v>20000</v>
      </c>
      <c r="B159" s="6"/>
      <c r="C159" s="6"/>
      <c r="D159" s="6" t="e">
        <f>IF(AND(20000&lt;=F139,F139&lt;=20999),"veinte mil ",0)</f>
        <v>#REF!</v>
      </c>
      <c r="E159" s="7" t="e">
        <f>IF(AND(20000&lt;=F139,F139&lt;=20999),20000,0)</f>
        <v>#REF!</v>
      </c>
      <c r="F159" s="8"/>
      <c r="G159" s="8"/>
      <c r="H159" s="8"/>
      <c r="I159" s="8"/>
      <c r="J159" s="8"/>
      <c r="K159" s="8"/>
    </row>
    <row r="160" spans="1:11" ht="12" hidden="1" customHeight="1" x14ac:dyDescent="0.2">
      <c r="A160" s="5">
        <v>15000</v>
      </c>
      <c r="B160" s="6"/>
      <c r="C160" s="6"/>
      <c r="D160" s="6" t="e">
        <f>IF(AND(15000&lt;=F139,F139&lt;=15999),"quince mil ",0)</f>
        <v>#REF!</v>
      </c>
      <c r="E160" s="7" t="e">
        <f>IF(AND(15000&lt;=F139,F139&lt;=15999),15000,0)</f>
        <v>#REF!</v>
      </c>
      <c r="F160" s="8"/>
      <c r="G160" s="8"/>
      <c r="H160" s="8"/>
      <c r="I160" s="8"/>
      <c r="J160" s="8"/>
      <c r="K160" s="8"/>
    </row>
    <row r="161" spans="1:11" ht="12" hidden="1" customHeight="1" x14ac:dyDescent="0.2">
      <c r="A161" s="5">
        <v>14000</v>
      </c>
      <c r="B161" s="6"/>
      <c r="C161" s="6"/>
      <c r="D161" s="6" t="e">
        <f>IF(AND(14000&lt;=F139,F139&lt;=14999),"catorce mil ",0)</f>
        <v>#REF!</v>
      </c>
      <c r="E161" s="7" t="e">
        <f>IF(AND(14000&lt;=F139,F139&lt;=14999),14000,0)</f>
        <v>#REF!</v>
      </c>
      <c r="F161" s="8"/>
      <c r="G161" s="8"/>
      <c r="H161" s="8"/>
      <c r="I161" s="8"/>
      <c r="J161" s="8"/>
      <c r="K161" s="8"/>
    </row>
    <row r="162" spans="1:11" ht="12" hidden="1" customHeight="1" x14ac:dyDescent="0.2">
      <c r="A162" s="5">
        <v>13000</v>
      </c>
      <c r="B162" s="6"/>
      <c r="C162" s="6"/>
      <c r="D162" s="6" t="e">
        <f>IF(AND(13000&lt;=F139,F139&lt;=13999),"trece mil ",0)</f>
        <v>#REF!</v>
      </c>
      <c r="E162" s="7" t="e">
        <f>IF(AND(13000&lt;=F139,F139&lt;=13999),13000,0)</f>
        <v>#REF!</v>
      </c>
      <c r="F162" s="8"/>
      <c r="G162" s="8"/>
      <c r="H162" s="8"/>
      <c r="I162" s="8"/>
      <c r="J162" s="8"/>
      <c r="K162" s="8"/>
    </row>
    <row r="163" spans="1:11" ht="12" hidden="1" customHeight="1" x14ac:dyDescent="0.2">
      <c r="A163" s="5">
        <v>12000</v>
      </c>
      <c r="B163" s="6"/>
      <c r="C163" s="6"/>
      <c r="D163" s="6" t="e">
        <f>IF(AND(12000&lt;=F139,F139&lt;=12999),"doce mil ",0)</f>
        <v>#REF!</v>
      </c>
      <c r="E163" s="7" t="e">
        <f>IF(AND(12000&lt;=F139,F139&lt;=12999),12000,0)</f>
        <v>#REF!</v>
      </c>
      <c r="F163" s="8"/>
      <c r="G163" s="8"/>
      <c r="H163" s="8"/>
      <c r="I163" s="8"/>
      <c r="J163" s="8"/>
      <c r="K163" s="8"/>
    </row>
    <row r="164" spans="1:11" ht="12" hidden="1" customHeight="1" x14ac:dyDescent="0.2">
      <c r="A164" s="5">
        <v>11000</v>
      </c>
      <c r="B164" s="6"/>
      <c r="C164" s="6"/>
      <c r="D164" s="6" t="e">
        <f>IF(AND(11000&lt;=F139,F139&lt;=11999),"once mil ",0)</f>
        <v>#REF!</v>
      </c>
      <c r="E164" s="7" t="e">
        <f>IF(AND(11000&lt;=F139,F139&lt;=11999),11000,0)</f>
        <v>#REF!</v>
      </c>
      <c r="F164" s="8"/>
      <c r="G164" s="8"/>
      <c r="H164" s="8"/>
      <c r="I164" s="8"/>
      <c r="J164" s="8"/>
      <c r="K164" s="8"/>
    </row>
    <row r="165" spans="1:11" ht="12" hidden="1" customHeight="1" x14ac:dyDescent="0.2">
      <c r="A165" s="9">
        <v>10000</v>
      </c>
      <c r="B165" s="10"/>
      <c r="C165" s="10"/>
      <c r="D165" s="10" t="e">
        <f>IF(AND(10000&lt;=F139,F139&lt;=10999),"diez mil ",0)</f>
        <v>#REF!</v>
      </c>
      <c r="E165" s="11" t="e">
        <f>IF(AND(10000&lt;=F139,F139&lt;=10999),10000,0)</f>
        <v>#REF!</v>
      </c>
      <c r="F165" s="12"/>
      <c r="G165" s="12"/>
      <c r="H165" s="12"/>
      <c r="I165" s="12"/>
      <c r="J165" s="12"/>
      <c r="K165" s="12"/>
    </row>
    <row r="166" spans="1:11" ht="12" hidden="1" customHeight="1" x14ac:dyDescent="0.2">
      <c r="A166" s="5"/>
      <c r="B166" s="6" t="e">
        <f>IF(E166=90000,D152,IF(E166=80000,D153,IF(E166=70000,D154,IF(E166=60000,D155,IF(E166=50000,D156,IF(E166=40000,D157,IF(E166=30000,D158,"")))))))</f>
        <v>#REF!</v>
      </c>
      <c r="C166" s="6" t="e">
        <f>IF(E166=20000,D159,IF(E166=15000,D160,IF(E166=14000,D161,IF(E166=13000,D162,IF(E166=12000,D163,IF(E166=11000,D164,IF(E166=10000,D165,"")))))))</f>
        <v>#REF!</v>
      </c>
      <c r="D166" s="6" t="e">
        <f>IF(E166&gt;20000,B166,IF(E166&lt;30000,C166,))</f>
        <v>#REF!</v>
      </c>
      <c r="E166" s="7" t="e">
        <f>E152+E153+E154+E155+E156+E157+E158+E159+E160+E161+E162+E163+E164+E165</f>
        <v>#REF!</v>
      </c>
      <c r="F166" s="8" t="e">
        <f>F150-E166</f>
        <v>#REF!</v>
      </c>
      <c r="G166" s="8"/>
      <c r="H166" s="8"/>
      <c r="I166" s="8"/>
      <c r="J166" s="8"/>
      <c r="K166" s="8" t="e">
        <f>K150-#REF!</f>
        <v>#REF!</v>
      </c>
    </row>
    <row r="167" spans="1:11" ht="12" hidden="1" customHeight="1" x14ac:dyDescent="0.2">
      <c r="A167" s="5"/>
      <c r="B167" s="6"/>
      <c r="C167" s="6"/>
      <c r="D167" s="6"/>
      <c r="E167" s="7"/>
      <c r="F167" s="8" t="e">
        <f>F166</f>
        <v>#REF!</v>
      </c>
      <c r="G167" s="8"/>
      <c r="H167" s="8"/>
      <c r="I167" s="8"/>
      <c r="J167" s="8"/>
      <c r="K167" s="8" t="e">
        <f>K166</f>
        <v>#REF!</v>
      </c>
    </row>
    <row r="168" spans="1:11" ht="12" hidden="1" customHeight="1" x14ac:dyDescent="0.2">
      <c r="A168" s="5" t="s">
        <v>16</v>
      </c>
      <c r="B168" s="6"/>
      <c r="C168" s="6"/>
      <c r="D168" s="6" t="s">
        <v>17</v>
      </c>
      <c r="E168" s="7" t="s">
        <v>18</v>
      </c>
      <c r="F168" s="8" t="s">
        <v>19</v>
      </c>
      <c r="G168" s="8"/>
      <c r="H168" s="8"/>
      <c r="I168" s="8"/>
      <c r="J168" s="8"/>
      <c r="K168" s="8" t="s">
        <v>19</v>
      </c>
    </row>
    <row r="169" spans="1:11" ht="12" hidden="1" customHeight="1" x14ac:dyDescent="0.2">
      <c r="A169" s="5">
        <v>9000</v>
      </c>
      <c r="B169" s="6"/>
      <c r="C169" s="6"/>
      <c r="D169" s="6" t="e">
        <f>IF(AND(9000&lt;=F167,F167&lt;=9999),"nueve mil ",0)</f>
        <v>#REF!</v>
      </c>
      <c r="E169" s="7" t="e">
        <f>IF(AND(9000&lt;=F167,F167&lt;=9999),9000,0)</f>
        <v>#REF!</v>
      </c>
      <c r="F169" s="8"/>
      <c r="G169" s="8"/>
      <c r="H169" s="8"/>
      <c r="I169" s="8"/>
      <c r="J169" s="8"/>
      <c r="K169" s="8"/>
    </row>
    <row r="170" spans="1:11" ht="12" hidden="1" customHeight="1" x14ac:dyDescent="0.2">
      <c r="A170" s="5">
        <v>8000</v>
      </c>
      <c r="B170" s="6"/>
      <c r="C170" s="6"/>
      <c r="D170" s="6" t="e">
        <f>IF(AND(8000&lt;=F167,F167&lt;=8999),"ocho mil ",0)</f>
        <v>#REF!</v>
      </c>
      <c r="E170" s="7" t="e">
        <f>IF(AND(8000&lt;=F167,F167&lt;=8999),8000,0)</f>
        <v>#REF!</v>
      </c>
      <c r="F170" s="8"/>
      <c r="G170" s="8"/>
      <c r="H170" s="8"/>
      <c r="I170" s="8"/>
      <c r="J170" s="8"/>
      <c r="K170" s="8"/>
    </row>
    <row r="171" spans="1:11" ht="12" hidden="1" customHeight="1" x14ac:dyDescent="0.2">
      <c r="A171" s="5">
        <v>7000</v>
      </c>
      <c r="B171" s="6"/>
      <c r="C171" s="6"/>
      <c r="D171" s="6" t="e">
        <f>IF(AND(7000&lt;=F167,F167&lt;=7999),"siete mil ",0)</f>
        <v>#REF!</v>
      </c>
      <c r="E171" s="7" t="e">
        <f>IF(AND(7000&lt;=F167,F167&lt;=7999),7000,0)</f>
        <v>#REF!</v>
      </c>
      <c r="F171" s="8"/>
      <c r="G171" s="8"/>
      <c r="H171" s="8"/>
      <c r="I171" s="8"/>
      <c r="J171" s="8"/>
      <c r="K171" s="8"/>
    </row>
    <row r="172" spans="1:11" ht="12" hidden="1" customHeight="1" x14ac:dyDescent="0.2">
      <c r="A172" s="5">
        <v>6000</v>
      </c>
      <c r="B172" s="6"/>
      <c r="C172" s="6"/>
      <c r="D172" s="6" t="e">
        <f>IF(AND(6000&lt;=F167,F167&lt;=6999),"seis mil ",0)</f>
        <v>#REF!</v>
      </c>
      <c r="E172" s="7" t="e">
        <f>IF(AND(6000&lt;=F167,F167&lt;=6999),6000,0)</f>
        <v>#REF!</v>
      </c>
      <c r="F172" s="8"/>
      <c r="G172" s="8"/>
      <c r="H172" s="8"/>
      <c r="I172" s="8"/>
      <c r="J172" s="8"/>
      <c r="K172" s="8"/>
    </row>
    <row r="173" spans="1:11" ht="12" hidden="1" customHeight="1" x14ac:dyDescent="0.2">
      <c r="A173" s="5">
        <v>5000</v>
      </c>
      <c r="B173" s="6"/>
      <c r="C173" s="6"/>
      <c r="D173" s="6" t="e">
        <f>IF(AND(5000&lt;=F167,F167&lt;=5999),"cinco mil ",0)</f>
        <v>#REF!</v>
      </c>
      <c r="E173" s="7" t="e">
        <f>IF(AND(5000&lt;=F167,F167&lt;=5999),5000,0)</f>
        <v>#REF!</v>
      </c>
      <c r="F173" s="8"/>
      <c r="G173" s="8"/>
      <c r="H173" s="8"/>
      <c r="I173" s="8"/>
      <c r="J173" s="8"/>
      <c r="K173" s="8"/>
    </row>
    <row r="174" spans="1:11" ht="12" hidden="1" customHeight="1" x14ac:dyDescent="0.2">
      <c r="A174" s="5">
        <v>4000</v>
      </c>
      <c r="B174" s="6"/>
      <c r="C174" s="6"/>
      <c r="D174" s="6" t="e">
        <f>IF(AND(4000&lt;=F167,F167&lt;=4999),"cuatro mil ",0)</f>
        <v>#REF!</v>
      </c>
      <c r="E174" s="7" t="e">
        <f>IF(AND(4000&lt;=F167,F167&lt;=4999),4000,0)</f>
        <v>#REF!</v>
      </c>
      <c r="F174" s="8"/>
      <c r="G174" s="8"/>
      <c r="H174" s="8"/>
      <c r="I174" s="8"/>
      <c r="J174" s="8"/>
      <c r="K174" s="8"/>
    </row>
    <row r="175" spans="1:11" ht="12" hidden="1" customHeight="1" x14ac:dyDescent="0.2">
      <c r="A175" s="5">
        <v>3000</v>
      </c>
      <c r="B175" s="6"/>
      <c r="C175" s="6"/>
      <c r="D175" s="6" t="e">
        <f>IF(AND(3000&lt;=F167,F167&lt;=3999),"tres mil ",0)</f>
        <v>#REF!</v>
      </c>
      <c r="E175" s="7" t="e">
        <f>IF(AND(3000&lt;=F167,F167&lt;=3999),3000,0)</f>
        <v>#REF!</v>
      </c>
      <c r="F175" s="8"/>
      <c r="G175" s="8"/>
      <c r="H175" s="8"/>
      <c r="I175" s="8"/>
      <c r="J175" s="8"/>
      <c r="K175" s="8"/>
    </row>
    <row r="176" spans="1:11" ht="12" hidden="1" customHeight="1" x14ac:dyDescent="0.2">
      <c r="A176" s="5">
        <v>2000</v>
      </c>
      <c r="B176" s="6"/>
      <c r="C176" s="6"/>
      <c r="D176" s="6" t="e">
        <f>IF(AND(2000&lt;=F167,F167&lt;=2999),"dos mil ",0)</f>
        <v>#REF!</v>
      </c>
      <c r="E176" s="7" t="e">
        <f>IF(AND(2000&lt;=F167,F167&lt;=2999),2000,0)</f>
        <v>#REF!</v>
      </c>
      <c r="F176" s="8"/>
      <c r="G176" s="8"/>
      <c r="H176" s="8"/>
      <c r="I176" s="8"/>
      <c r="J176" s="8"/>
      <c r="K176" s="8"/>
    </row>
    <row r="177" spans="1:11" ht="12" hidden="1" customHeight="1" x14ac:dyDescent="0.2">
      <c r="A177" s="9">
        <v>1000</v>
      </c>
      <c r="B177" s="10"/>
      <c r="C177" s="10"/>
      <c r="D177" s="10" t="e">
        <f>IF(AND(1000&lt;=F167,F167&lt;=1999),"un mil ",0)</f>
        <v>#REF!</v>
      </c>
      <c r="E177" s="11" t="e">
        <f>IF(AND(1000&lt;=F167,F167&lt;=1999),1000,0)</f>
        <v>#REF!</v>
      </c>
      <c r="F177" s="12"/>
      <c r="G177" s="12"/>
      <c r="H177" s="12"/>
      <c r="I177" s="12"/>
      <c r="J177" s="12"/>
      <c r="K177" s="12"/>
    </row>
    <row r="178" spans="1:11" ht="12" hidden="1" customHeight="1" x14ac:dyDescent="0.2">
      <c r="A178" s="5"/>
      <c r="B178" s="6" t="e">
        <f>IF(E178=9000,D169,IF(E178=8000,D170,IF(E178=7000,D171,IF(E178=6000,D172,IF(E178=5000,D173,"")))))</f>
        <v>#REF!</v>
      </c>
      <c r="C178" s="6" t="e">
        <f>IF(E178=4000,D174,IF(E178=3000,D175,IF(E178=2000,D176,IF(E178=1000,D177,""))))</f>
        <v>#REF!</v>
      </c>
      <c r="D178" s="6" t="e">
        <f>IF(E178&gt;4000,B178,IF(E178&lt;5000,C178,))</f>
        <v>#REF!</v>
      </c>
      <c r="E178" s="7" t="e">
        <f>E169+E170+E171+E172+E173+E174+E175+E176+E177</f>
        <v>#REF!</v>
      </c>
      <c r="F178" s="8" t="e">
        <f>F167-E178</f>
        <v>#REF!</v>
      </c>
      <c r="G178" s="8"/>
      <c r="H178" s="8"/>
      <c r="I178" s="8"/>
      <c r="J178" s="8"/>
      <c r="K178" s="8" t="e">
        <f>K167-#REF!</f>
        <v>#REF!</v>
      </c>
    </row>
    <row r="179" spans="1:11" ht="12" hidden="1" customHeight="1" x14ac:dyDescent="0.2">
      <c r="A179" s="5" t="s">
        <v>16</v>
      </c>
      <c r="B179" s="6"/>
      <c r="C179" s="6"/>
      <c r="D179" s="6" t="s">
        <v>17</v>
      </c>
      <c r="E179" s="7" t="s">
        <v>18</v>
      </c>
      <c r="F179" s="8" t="s">
        <v>19</v>
      </c>
      <c r="G179" s="8"/>
      <c r="H179" s="8"/>
      <c r="I179" s="8"/>
      <c r="J179" s="8"/>
      <c r="K179" s="8" t="s">
        <v>19</v>
      </c>
    </row>
    <row r="180" spans="1:11" ht="12" hidden="1" customHeight="1" x14ac:dyDescent="0.2">
      <c r="A180" s="5">
        <v>900</v>
      </c>
      <c r="B180" s="6"/>
      <c r="C180" s="6"/>
      <c r="D180" s="16" t="e">
        <f>IF(AND(900&lt;=F178,F178&lt;=999),"novecientos ",0)</f>
        <v>#REF!</v>
      </c>
      <c r="E180" s="7" t="e">
        <f>IF(AND(900&lt;=F178,F178&lt;=999),900,0)</f>
        <v>#REF!</v>
      </c>
      <c r="F180" s="8"/>
      <c r="G180" s="8"/>
      <c r="H180" s="8"/>
      <c r="I180" s="8"/>
      <c r="J180" s="8"/>
      <c r="K180" s="8"/>
    </row>
    <row r="181" spans="1:11" ht="12" hidden="1" customHeight="1" x14ac:dyDescent="0.2">
      <c r="A181" s="5">
        <v>800</v>
      </c>
      <c r="B181" s="6"/>
      <c r="C181" s="6"/>
      <c r="D181" s="16" t="e">
        <f>IF(AND(800&lt;=F178,F178&lt;=899),"ochocientos ",0)</f>
        <v>#REF!</v>
      </c>
      <c r="E181" s="7" t="e">
        <f>IF(AND(800&lt;=F178,F178&lt;=899),800,0)</f>
        <v>#REF!</v>
      </c>
      <c r="F181" s="8"/>
      <c r="G181" s="8"/>
      <c r="H181" s="8"/>
      <c r="I181" s="8"/>
      <c r="J181" s="8"/>
      <c r="K181" s="8"/>
    </row>
    <row r="182" spans="1:11" ht="12" hidden="1" customHeight="1" x14ac:dyDescent="0.2">
      <c r="A182" s="5">
        <v>700</v>
      </c>
      <c r="B182" s="6"/>
      <c r="C182" s="6"/>
      <c r="D182" s="16" t="e">
        <f>IF(AND(700&lt;=F178,F178&lt;=799),"setecientos ",0)</f>
        <v>#REF!</v>
      </c>
      <c r="E182" s="7" t="e">
        <f>IF(AND(700&lt;=F178,F178&lt;=799),700,0)</f>
        <v>#REF!</v>
      </c>
      <c r="F182" s="8"/>
      <c r="G182" s="8"/>
      <c r="H182" s="8"/>
      <c r="I182" s="8"/>
      <c r="J182" s="8"/>
      <c r="K182" s="8"/>
    </row>
    <row r="183" spans="1:11" ht="12" hidden="1" customHeight="1" x14ac:dyDescent="0.2">
      <c r="A183" s="5">
        <v>600</v>
      </c>
      <c r="B183" s="6"/>
      <c r="C183" s="6"/>
      <c r="D183" s="16" t="e">
        <f>IF(AND(600&lt;=F178,F178&lt;=699),"seiscientos ",0)</f>
        <v>#REF!</v>
      </c>
      <c r="E183" s="7" t="e">
        <f>IF(AND(600&lt;=F178,F178&lt;=699),600,0)</f>
        <v>#REF!</v>
      </c>
      <c r="F183" s="8"/>
      <c r="G183" s="8"/>
      <c r="H183" s="8"/>
      <c r="I183" s="8"/>
      <c r="J183" s="8"/>
      <c r="K183" s="8"/>
    </row>
    <row r="184" spans="1:11" ht="12" hidden="1" customHeight="1" x14ac:dyDescent="0.2">
      <c r="A184" s="5">
        <v>500</v>
      </c>
      <c r="B184" s="6"/>
      <c r="C184" s="6"/>
      <c r="D184" s="16" t="e">
        <f>IF(AND(500&lt;=F178,F178&lt;=599),"quinientos ",0)</f>
        <v>#REF!</v>
      </c>
      <c r="E184" s="7" t="e">
        <f>IF(AND(500&lt;=F178,F178&lt;=599),500,0)</f>
        <v>#REF!</v>
      </c>
      <c r="F184" s="8"/>
      <c r="G184" s="8"/>
      <c r="H184" s="8"/>
      <c r="I184" s="8"/>
      <c r="J184" s="8"/>
      <c r="K184" s="8"/>
    </row>
    <row r="185" spans="1:11" ht="12" hidden="1" customHeight="1" x14ac:dyDescent="0.2">
      <c r="A185" s="5">
        <v>400</v>
      </c>
      <c r="B185" s="6"/>
      <c r="C185" s="6"/>
      <c r="D185" s="16" t="e">
        <f>IF(AND(400&lt;=F178,F178&lt;=499),"cuatrocientos ",0)</f>
        <v>#REF!</v>
      </c>
      <c r="E185" s="7" t="e">
        <f>IF(AND(400&lt;=F178,F178&lt;=499),400,0)</f>
        <v>#REF!</v>
      </c>
      <c r="F185" s="8"/>
      <c r="G185" s="8"/>
      <c r="H185" s="8"/>
      <c r="I185" s="8"/>
      <c r="J185" s="8"/>
      <c r="K185" s="8"/>
    </row>
    <row r="186" spans="1:11" ht="12" hidden="1" customHeight="1" x14ac:dyDescent="0.2">
      <c r="A186" s="5">
        <v>300</v>
      </c>
      <c r="B186" s="6"/>
      <c r="C186" s="6"/>
      <c r="D186" s="16" t="e">
        <f>IF(AND(300&lt;=F178,F178&lt;=399),"trescientos ",0)</f>
        <v>#REF!</v>
      </c>
      <c r="E186" s="7" t="e">
        <f>IF(AND(300&lt;=F178,F178&lt;=399),300,0)</f>
        <v>#REF!</v>
      </c>
      <c r="F186" s="8"/>
      <c r="G186" s="8"/>
      <c r="H186" s="8"/>
      <c r="I186" s="8"/>
      <c r="J186" s="8"/>
      <c r="K186" s="8"/>
    </row>
    <row r="187" spans="1:11" ht="12" hidden="1" customHeight="1" x14ac:dyDescent="0.2">
      <c r="A187" s="5">
        <v>200</v>
      </c>
      <c r="B187" s="6"/>
      <c r="C187" s="6"/>
      <c r="D187" s="16" t="e">
        <f>IF(AND(200&lt;=F178,F178&lt;=299),"doscientos ",0)</f>
        <v>#REF!</v>
      </c>
      <c r="E187" s="7" t="e">
        <f>IF(AND(200&lt;=F178,F178&lt;=299),200,0)</f>
        <v>#REF!</v>
      </c>
      <c r="F187" s="8"/>
      <c r="G187" s="8"/>
      <c r="H187" s="8"/>
      <c r="I187" s="8"/>
      <c r="J187" s="8"/>
      <c r="K187" s="8"/>
    </row>
    <row r="188" spans="1:11" ht="12" hidden="1" customHeight="1" x14ac:dyDescent="0.2">
      <c r="A188" s="5">
        <v>100</v>
      </c>
      <c r="B188" s="6"/>
      <c r="C188" s="6"/>
      <c r="D188" s="16" t="e">
        <f>IF(AND(100&lt;F178,F178&lt;=199),"ciento ",0)</f>
        <v>#REF!</v>
      </c>
      <c r="E188" s="7" t="e">
        <f>IF(AND(100&lt;F178,F178&lt;=199),100,0)</f>
        <v>#REF!</v>
      </c>
      <c r="F188" s="8"/>
      <c r="G188" s="8"/>
      <c r="H188" s="8"/>
      <c r="I188" s="8"/>
      <c r="J188" s="8"/>
      <c r="K188" s="8"/>
    </row>
    <row r="189" spans="1:11" ht="12" hidden="1" customHeight="1" x14ac:dyDescent="0.2">
      <c r="A189" s="9">
        <v>100</v>
      </c>
      <c r="B189" s="10"/>
      <c r="C189" s="10"/>
      <c r="D189" s="17" t="e">
        <f>IF(F178=100,"cien",0)</f>
        <v>#REF!</v>
      </c>
      <c r="E189" s="11" t="e">
        <f>IF(F178=100,100,0)</f>
        <v>#REF!</v>
      </c>
      <c r="F189" s="12"/>
      <c r="G189" s="12"/>
      <c r="H189" s="12"/>
      <c r="I189" s="12"/>
      <c r="J189" s="12"/>
      <c r="K189" s="12"/>
    </row>
    <row r="190" spans="1:11" ht="12" hidden="1" customHeight="1" x14ac:dyDescent="0.2">
      <c r="A190" s="5"/>
      <c r="B190" s="6" t="e">
        <f>IF(E190=900,D180,IF(E190=800,D181,IF(E190=700,D182,IF(E190=600,D183,IF(E190=500,D184,"")))))</f>
        <v>#REF!</v>
      </c>
      <c r="C190" s="6" t="e">
        <f>IF(E190=400,D185,IF(E190=300,D186,IF(E190=200,D187,IF(AND(100&lt;F178,F178&lt;200),D188,IF(E190=100,D189,"")))))</f>
        <v>#REF!</v>
      </c>
      <c r="D190" s="6" t="e">
        <f>IF(E190&gt;400,B190,IF(E190&lt;500,C190,))</f>
        <v>#REF!</v>
      </c>
      <c r="E190" s="7" t="e">
        <f>E180+E181+E182+E183+E184+E185+E186+E187+E188+E189</f>
        <v>#REF!</v>
      </c>
      <c r="F190" s="8" t="e">
        <f>F178-E190</f>
        <v>#REF!</v>
      </c>
      <c r="G190" s="8"/>
      <c r="H190" s="8"/>
      <c r="I190" s="8"/>
      <c r="J190" s="8"/>
      <c r="K190" s="8" t="e">
        <f>K178-#REF!</f>
        <v>#REF!</v>
      </c>
    </row>
    <row r="191" spans="1:11" ht="12" hidden="1" customHeight="1" x14ac:dyDescent="0.2">
      <c r="A191" s="5" t="s">
        <v>16</v>
      </c>
      <c r="B191" s="6"/>
      <c r="C191" s="6"/>
      <c r="D191" s="6" t="s">
        <v>17</v>
      </c>
      <c r="E191" s="7" t="s">
        <v>18</v>
      </c>
      <c r="F191" s="8" t="s">
        <v>19</v>
      </c>
      <c r="G191" s="8"/>
      <c r="H191" s="8"/>
      <c r="I191" s="8"/>
      <c r="J191" s="8"/>
      <c r="K191" s="8" t="s">
        <v>19</v>
      </c>
    </row>
    <row r="192" spans="1:11" ht="12" hidden="1" customHeight="1" x14ac:dyDescent="0.2">
      <c r="A192" s="5">
        <v>90</v>
      </c>
      <c r="B192" s="6"/>
      <c r="C192" s="6"/>
      <c r="D192" s="6" t="e">
        <f>IF(AND(91&lt;=F190,F190&lt;=99),"noventa y ",)</f>
        <v>#REF!</v>
      </c>
      <c r="E192" s="7" t="e">
        <f>IF(AND(91&lt;=F190,F190&lt;=99),90,0)</f>
        <v>#REF!</v>
      </c>
      <c r="F192" s="8"/>
      <c r="G192" s="8"/>
      <c r="H192" s="8"/>
      <c r="I192" s="8"/>
      <c r="J192" s="8"/>
      <c r="K192" s="8"/>
    </row>
    <row r="193" spans="1:11" ht="12" hidden="1" customHeight="1" x14ac:dyDescent="0.2">
      <c r="A193" s="5">
        <v>80</v>
      </c>
      <c r="B193" s="6"/>
      <c r="C193" s="6"/>
      <c r="D193" s="6" t="e">
        <f>IF(AND(81&lt;=F190,F190&lt;=89),"ochenta y ",0)</f>
        <v>#REF!</v>
      </c>
      <c r="E193" s="7" t="e">
        <f>IF(AND(81&lt;=F190,F190&lt;=89),80,0)</f>
        <v>#REF!</v>
      </c>
      <c r="F193" s="8"/>
      <c r="G193" s="8"/>
      <c r="H193" s="8"/>
      <c r="I193" s="8"/>
      <c r="J193" s="8"/>
      <c r="K193" s="8"/>
    </row>
    <row r="194" spans="1:11" ht="12" hidden="1" customHeight="1" x14ac:dyDescent="0.2">
      <c r="A194" s="5">
        <v>70</v>
      </c>
      <c r="B194" s="6"/>
      <c r="C194" s="6"/>
      <c r="D194" s="6" t="e">
        <f>IF(AND(71&lt;=F190,F190&lt;=79),"setenta y ",0)</f>
        <v>#REF!</v>
      </c>
      <c r="E194" s="7" t="e">
        <f>IF(AND(71&lt;=F190,F190&lt;=79),70,0)</f>
        <v>#REF!</v>
      </c>
      <c r="F194" s="8"/>
      <c r="G194" s="8"/>
      <c r="H194" s="8"/>
      <c r="I194" s="8"/>
      <c r="J194" s="8"/>
      <c r="K194" s="8"/>
    </row>
    <row r="195" spans="1:11" ht="12" hidden="1" customHeight="1" x14ac:dyDescent="0.2">
      <c r="A195" s="5">
        <v>60</v>
      </c>
      <c r="B195" s="6"/>
      <c r="C195" s="6"/>
      <c r="D195" s="6" t="e">
        <f>IF(AND(61&lt;=F190,F190&lt;=69),"sesenta y ",0)</f>
        <v>#REF!</v>
      </c>
      <c r="E195" s="7" t="e">
        <f>IF(AND(61&lt;=F190,F190&lt;=69),60,0)</f>
        <v>#REF!</v>
      </c>
      <c r="F195" s="8"/>
      <c r="G195" s="8"/>
      <c r="H195" s="8"/>
      <c r="I195" s="8"/>
      <c r="J195" s="8"/>
      <c r="K195" s="8"/>
    </row>
    <row r="196" spans="1:11" ht="12" hidden="1" customHeight="1" x14ac:dyDescent="0.2">
      <c r="A196" s="5">
        <v>50</v>
      </c>
      <c r="B196" s="6"/>
      <c r="C196" s="6"/>
      <c r="D196" s="6" t="e">
        <f>IF(AND(51&lt;=F190,F190&lt;=59),"cincuenta y ",0)</f>
        <v>#REF!</v>
      </c>
      <c r="E196" s="7" t="e">
        <f>IF(AND(51&lt;=F190,F190&lt;=59),50,0)</f>
        <v>#REF!</v>
      </c>
      <c r="F196" s="8"/>
      <c r="G196" s="8"/>
      <c r="H196" s="8"/>
      <c r="I196" s="8"/>
      <c r="J196" s="8"/>
      <c r="K196" s="8"/>
    </row>
    <row r="197" spans="1:11" ht="12" hidden="1" customHeight="1" x14ac:dyDescent="0.2">
      <c r="A197" s="5">
        <v>40</v>
      </c>
      <c r="B197" s="6"/>
      <c r="C197" s="6"/>
      <c r="D197" s="6" t="e">
        <f>IF(AND(41&lt;=F190,F190&lt;=49),"cuarenta y ",0)</f>
        <v>#REF!</v>
      </c>
      <c r="E197" s="7" t="e">
        <f>IF(AND(41&lt;=F190,F190&lt;=49),40,0)</f>
        <v>#REF!</v>
      </c>
      <c r="F197" s="8"/>
      <c r="G197" s="8"/>
      <c r="H197" s="8"/>
      <c r="I197" s="8"/>
      <c r="J197" s="8"/>
      <c r="K197" s="8"/>
    </row>
    <row r="198" spans="1:11" ht="12" hidden="1" customHeight="1" x14ac:dyDescent="0.2">
      <c r="A198" s="5">
        <v>30</v>
      </c>
      <c r="B198" s="6"/>
      <c r="C198" s="6"/>
      <c r="D198" s="6" t="e">
        <f>IF(AND(31&lt;=F190,F190&lt;=39),"treinta y ",0)</f>
        <v>#REF!</v>
      </c>
      <c r="E198" s="7" t="e">
        <f>IF(AND(31&lt;=F190,F190&lt;=39),30,0)</f>
        <v>#REF!</v>
      </c>
      <c r="F198" s="8"/>
      <c r="G198" s="8"/>
      <c r="H198" s="8"/>
      <c r="I198" s="8"/>
      <c r="J198" s="8"/>
      <c r="K198" s="8"/>
    </row>
    <row r="199" spans="1:11" ht="12" hidden="1" customHeight="1" x14ac:dyDescent="0.2">
      <c r="A199" s="5">
        <v>20</v>
      </c>
      <c r="B199" s="6"/>
      <c r="C199" s="6"/>
      <c r="D199" s="6" t="e">
        <f>IF(AND(21&lt;=F190,F190&lt;=29),"veinti",0)</f>
        <v>#REF!</v>
      </c>
      <c r="E199" s="7" t="e">
        <f>IF(AND(21&lt;=F190,F190&lt;=29),20,0)</f>
        <v>#REF!</v>
      </c>
      <c r="F199" s="8"/>
      <c r="G199" s="8"/>
      <c r="H199" s="8"/>
      <c r="I199" s="8"/>
      <c r="J199" s="8"/>
      <c r="K199" s="8"/>
    </row>
    <row r="200" spans="1:11" ht="12" hidden="1" customHeight="1" x14ac:dyDescent="0.2">
      <c r="A200" s="9">
        <v>16</v>
      </c>
      <c r="B200" s="10"/>
      <c r="C200" s="10"/>
      <c r="D200" s="10" t="e">
        <f>IF(AND(16&lt;=F190,F190&lt;=19),"dieci",0)</f>
        <v>#REF!</v>
      </c>
      <c r="E200" s="11" t="e">
        <f>IF(AND(16&lt;=F190,F190&lt;=19),10,0)</f>
        <v>#REF!</v>
      </c>
      <c r="F200" s="12"/>
      <c r="G200" s="12"/>
      <c r="H200" s="12"/>
      <c r="I200" s="12"/>
      <c r="J200" s="12"/>
      <c r="K200" s="12"/>
    </row>
    <row r="201" spans="1:11" ht="12" hidden="1" customHeight="1" x14ac:dyDescent="0.2">
      <c r="A201" s="5"/>
      <c r="B201" s="6" t="e">
        <f>IF(E201=90,D192,IF(E201=80,D193,IF(E201=70,D194,IF(E201=60,D195,IF(E201=50,D196,"")))))</f>
        <v>#REF!</v>
      </c>
      <c r="C201" s="6" t="e">
        <f>IF(E201=40,D197,IF(E201=30,D198,IF(E201=20,D199,IF(E201=10,D200,""))))</f>
        <v>#REF!</v>
      </c>
      <c r="D201" s="6" t="e">
        <f>IF(E201&gt;40,B201,IF(E201&lt;50,C201,""))</f>
        <v>#REF!</v>
      </c>
      <c r="E201" s="7" t="e">
        <f>E192+E193+E194+E195+E196+E197+E198+E199+E200</f>
        <v>#REF!</v>
      </c>
      <c r="F201" s="8" t="e">
        <f>F190-E201</f>
        <v>#REF!</v>
      </c>
      <c r="G201" s="8"/>
      <c r="H201" s="8"/>
      <c r="I201" s="8"/>
      <c r="J201" s="8"/>
      <c r="K201" s="8" t="e">
        <f>K190-#REF!</f>
        <v>#REF!</v>
      </c>
    </row>
    <row r="202" spans="1:11" ht="12" hidden="1" customHeight="1" x14ac:dyDescent="0.2">
      <c r="A202" s="5" t="s">
        <v>16</v>
      </c>
      <c r="B202" s="6"/>
      <c r="C202" s="6"/>
      <c r="D202" s="6" t="s">
        <v>17</v>
      </c>
      <c r="E202" s="7" t="s">
        <v>18</v>
      </c>
      <c r="F202" s="8" t="s">
        <v>19</v>
      </c>
      <c r="G202" s="8"/>
      <c r="H202" s="8"/>
      <c r="I202" s="8"/>
      <c r="J202" s="8"/>
      <c r="K202" s="8" t="s">
        <v>19</v>
      </c>
    </row>
    <row r="203" spans="1:11" ht="12" hidden="1" customHeight="1" x14ac:dyDescent="0.2">
      <c r="A203" s="5">
        <v>90</v>
      </c>
      <c r="B203" s="6"/>
      <c r="C203" s="6"/>
      <c r="D203" s="6" t="e">
        <f>IF(F201=90,"noventa",0)</f>
        <v>#REF!</v>
      </c>
      <c r="E203" s="7" t="e">
        <f>IF(F201=90,90,0)</f>
        <v>#REF!</v>
      </c>
      <c r="F203" s="8"/>
      <c r="G203" s="8"/>
      <c r="H203" s="8"/>
      <c r="I203" s="8"/>
      <c r="J203" s="8"/>
      <c r="K203" s="8"/>
    </row>
    <row r="204" spans="1:11" ht="12" hidden="1" customHeight="1" x14ac:dyDescent="0.2">
      <c r="A204" s="5">
        <v>80</v>
      </c>
      <c r="B204" s="6"/>
      <c r="C204" s="6"/>
      <c r="D204" s="6" t="e">
        <f>IF(F201=80,"ochenta",0)</f>
        <v>#REF!</v>
      </c>
      <c r="E204" s="7" t="e">
        <f>IF(F201=80,80,0)</f>
        <v>#REF!</v>
      </c>
      <c r="F204" s="8"/>
      <c r="G204" s="8"/>
      <c r="H204" s="8"/>
      <c r="I204" s="8"/>
      <c r="J204" s="8"/>
      <c r="K204" s="8"/>
    </row>
    <row r="205" spans="1:11" ht="12" hidden="1" customHeight="1" x14ac:dyDescent="0.2">
      <c r="A205" s="5">
        <v>70</v>
      </c>
      <c r="B205" s="6"/>
      <c r="C205" s="6"/>
      <c r="D205" s="6" t="e">
        <f>IF(F201=70,"setenta",0)</f>
        <v>#REF!</v>
      </c>
      <c r="E205" s="7" t="e">
        <f>IF(F201=70,70,0)</f>
        <v>#REF!</v>
      </c>
      <c r="F205" s="8"/>
      <c r="G205" s="8"/>
      <c r="H205" s="8"/>
      <c r="I205" s="8"/>
      <c r="J205" s="8"/>
      <c r="K205" s="8"/>
    </row>
    <row r="206" spans="1:11" ht="12" hidden="1" customHeight="1" x14ac:dyDescent="0.2">
      <c r="A206" s="5">
        <v>60</v>
      </c>
      <c r="B206" s="6"/>
      <c r="C206" s="6"/>
      <c r="D206" s="6" t="e">
        <f>IF(F201=60,"sesenta",0)</f>
        <v>#REF!</v>
      </c>
      <c r="E206" s="7" t="e">
        <f>IF(F201=60,60,0)</f>
        <v>#REF!</v>
      </c>
      <c r="F206" s="8"/>
      <c r="G206" s="8"/>
      <c r="H206" s="8"/>
      <c r="I206" s="8"/>
      <c r="J206" s="8"/>
      <c r="K206" s="8"/>
    </row>
    <row r="207" spans="1:11" ht="12" hidden="1" customHeight="1" x14ac:dyDescent="0.2">
      <c r="A207" s="5">
        <v>50</v>
      </c>
      <c r="B207" s="6"/>
      <c r="C207" s="6"/>
      <c r="D207" s="6" t="e">
        <f>IF(F201=50,"cincuenta",0)</f>
        <v>#REF!</v>
      </c>
      <c r="E207" s="7" t="e">
        <f>IF(F201=50,50,0)</f>
        <v>#REF!</v>
      </c>
      <c r="F207" s="8"/>
      <c r="G207" s="8"/>
      <c r="H207" s="8"/>
      <c r="I207" s="8"/>
      <c r="J207" s="8"/>
      <c r="K207" s="8"/>
    </row>
    <row r="208" spans="1:11" ht="12" hidden="1" customHeight="1" x14ac:dyDescent="0.2">
      <c r="A208" s="5">
        <v>40</v>
      </c>
      <c r="B208" s="6"/>
      <c r="C208" s="6"/>
      <c r="D208" s="6" t="e">
        <f>IF(F201=40,"cuarenta",0)</f>
        <v>#REF!</v>
      </c>
      <c r="E208" s="7" t="e">
        <f>IF(F201=40,40,0)</f>
        <v>#REF!</v>
      </c>
      <c r="F208" s="8"/>
      <c r="G208" s="8"/>
      <c r="H208" s="8"/>
      <c r="I208" s="8"/>
      <c r="J208" s="8"/>
      <c r="K208" s="8"/>
    </row>
    <row r="209" spans="1:11" ht="12" hidden="1" customHeight="1" x14ac:dyDescent="0.2">
      <c r="A209" s="5">
        <v>30</v>
      </c>
      <c r="B209" s="6"/>
      <c r="C209" s="6"/>
      <c r="D209" s="6" t="e">
        <f>IF(F201=30,"treinta",0)</f>
        <v>#REF!</v>
      </c>
      <c r="E209" s="7" t="e">
        <f>IF(F201=30,30,0)</f>
        <v>#REF!</v>
      </c>
      <c r="F209" s="8"/>
      <c r="G209" s="8"/>
      <c r="H209" s="8"/>
      <c r="I209" s="8"/>
      <c r="J209" s="8"/>
      <c r="K209" s="8"/>
    </row>
    <row r="210" spans="1:11" ht="12" hidden="1" customHeight="1" x14ac:dyDescent="0.2">
      <c r="A210" s="5">
        <v>20</v>
      </c>
      <c r="B210" s="6"/>
      <c r="C210" s="6"/>
      <c r="D210" s="6" t="e">
        <f>IF(F201=20,"veinte",0)</f>
        <v>#REF!</v>
      </c>
      <c r="E210" s="7" t="e">
        <f>IF(F201=20,20,0)</f>
        <v>#REF!</v>
      </c>
      <c r="F210" s="8"/>
      <c r="G210" s="8"/>
      <c r="H210" s="8"/>
      <c r="I210" s="8"/>
      <c r="J210" s="8"/>
      <c r="K210" s="8"/>
    </row>
    <row r="211" spans="1:11" ht="12" hidden="1" customHeight="1" x14ac:dyDescent="0.2">
      <c r="A211" s="5">
        <v>15</v>
      </c>
      <c r="B211" s="6"/>
      <c r="C211" s="6"/>
      <c r="D211" s="6" t="e">
        <f>IF(F201=15,"quince",0)</f>
        <v>#REF!</v>
      </c>
      <c r="E211" s="7" t="e">
        <f>IF(F201=15,15,0)</f>
        <v>#REF!</v>
      </c>
      <c r="F211" s="8"/>
      <c r="G211" s="8"/>
      <c r="H211" s="8"/>
      <c r="I211" s="8"/>
      <c r="J211" s="8"/>
      <c r="K211" s="8"/>
    </row>
    <row r="212" spans="1:11" ht="12" hidden="1" customHeight="1" x14ac:dyDescent="0.2">
      <c r="A212" s="5">
        <v>14</v>
      </c>
      <c r="B212" s="6"/>
      <c r="C212" s="6"/>
      <c r="D212" s="6" t="e">
        <f>IF(F201=14,"catorce",0)</f>
        <v>#REF!</v>
      </c>
      <c r="E212" s="7" t="e">
        <f>IF(F201=14,14,0)</f>
        <v>#REF!</v>
      </c>
      <c r="F212" s="8"/>
      <c r="G212" s="8"/>
      <c r="H212" s="8"/>
      <c r="I212" s="8"/>
      <c r="J212" s="8"/>
      <c r="K212" s="8"/>
    </row>
    <row r="213" spans="1:11" ht="12" hidden="1" customHeight="1" x14ac:dyDescent="0.2">
      <c r="A213" s="5">
        <v>13</v>
      </c>
      <c r="B213" s="6"/>
      <c r="C213" s="6"/>
      <c r="D213" s="6" t="e">
        <f>IF(F201=13,"trece",0)</f>
        <v>#REF!</v>
      </c>
      <c r="E213" s="7" t="e">
        <f>IF(F201=13,13,0)</f>
        <v>#REF!</v>
      </c>
      <c r="F213" s="8"/>
      <c r="G213" s="8"/>
      <c r="H213" s="8"/>
      <c r="I213" s="8"/>
      <c r="J213" s="8"/>
      <c r="K213" s="8"/>
    </row>
    <row r="214" spans="1:11" ht="12" hidden="1" customHeight="1" x14ac:dyDescent="0.2">
      <c r="A214" s="5">
        <v>12</v>
      </c>
      <c r="B214" s="6"/>
      <c r="C214" s="6"/>
      <c r="D214" s="6" t="e">
        <f>IF(F201=12,"doce",0)</f>
        <v>#REF!</v>
      </c>
      <c r="E214" s="7" t="e">
        <f>IF(F201=12,12,0)</f>
        <v>#REF!</v>
      </c>
      <c r="F214" s="8"/>
      <c r="G214" s="8"/>
      <c r="H214" s="8"/>
      <c r="I214" s="8"/>
      <c r="J214" s="8"/>
      <c r="K214" s="8"/>
    </row>
    <row r="215" spans="1:11" ht="12" hidden="1" customHeight="1" x14ac:dyDescent="0.2">
      <c r="A215" s="5">
        <v>11</v>
      </c>
      <c r="B215" s="6"/>
      <c r="C215" s="6"/>
      <c r="D215" s="6" t="e">
        <f>IF(F201=11,"once",0)</f>
        <v>#REF!</v>
      </c>
      <c r="E215" s="7" t="e">
        <f>IF(F201=11,11,0)</f>
        <v>#REF!</v>
      </c>
      <c r="F215" s="8"/>
      <c r="G215" s="8"/>
      <c r="H215" s="8"/>
      <c r="I215" s="8"/>
      <c r="J215" s="8"/>
      <c r="K215" s="8"/>
    </row>
    <row r="216" spans="1:11" ht="12" hidden="1" customHeight="1" x14ac:dyDescent="0.2">
      <c r="A216" s="9">
        <v>10</v>
      </c>
      <c r="B216" s="10"/>
      <c r="C216" s="10"/>
      <c r="D216" s="10" t="e">
        <f>IF(F190=10,"diez",0)</f>
        <v>#REF!</v>
      </c>
      <c r="E216" s="11" t="e">
        <f>IF(F190=10,10,0)</f>
        <v>#REF!</v>
      </c>
      <c r="F216" s="12"/>
      <c r="G216" s="12"/>
      <c r="H216" s="12"/>
      <c r="I216" s="12"/>
      <c r="J216" s="12"/>
      <c r="K216" s="12"/>
    </row>
    <row r="217" spans="1:11" ht="12" hidden="1" customHeight="1" x14ac:dyDescent="0.2">
      <c r="A217" s="5"/>
      <c r="B217" s="6" t="e">
        <f>IF(E217=90,D203,IF(E217=80,D204,IF(E217=70,D205,IF(E217=60,D206,IF(E217=50,D207,IF(E217=40,D208,IF(E217=30,D209,"")))))))</f>
        <v>#REF!</v>
      </c>
      <c r="C217" s="6" t="e">
        <f>IF(E217=20,D210,IF(E217=15,D211,IF(E217=14,D212,IF(E217=13,D213,IF(E217=12,D214,IF(E217=11,D215,IF(E217=10,D216,"")))))))</f>
        <v>#REF!</v>
      </c>
      <c r="D217" s="6" t="e">
        <f>IF(E217&gt;20,B217,IF(E217&lt;30,C217,))</f>
        <v>#REF!</v>
      </c>
      <c r="E217" s="7" t="e">
        <f>E203+E204+E205+E206+E207+E208+E209+E210+E211+E212+E213+E214+E215+E216</f>
        <v>#REF!</v>
      </c>
      <c r="F217" s="8" t="e">
        <f>F201-E217</f>
        <v>#REF!</v>
      </c>
      <c r="G217" s="8"/>
      <c r="H217" s="8"/>
      <c r="I217" s="8"/>
      <c r="J217" s="8"/>
      <c r="K217" s="8" t="e">
        <f>K201-#REF!</f>
        <v>#REF!</v>
      </c>
    </row>
    <row r="218" spans="1:11" ht="12" hidden="1" customHeight="1" x14ac:dyDescent="0.2">
      <c r="A218" s="5"/>
      <c r="B218" s="6" t="e">
        <f>B229</f>
        <v>#REF!</v>
      </c>
      <c r="C218" s="6" t="e">
        <f>C229</f>
        <v>#REF!</v>
      </c>
      <c r="D218" s="6" t="e">
        <f>D229</f>
        <v>#REF!</v>
      </c>
      <c r="E218" s="7" t="e">
        <f>IF(E217&gt;9,D217,IF(E229&lt;10,D218))</f>
        <v>#REF!</v>
      </c>
      <c r="F218" s="8" t="e">
        <f>F217</f>
        <v>#REF!</v>
      </c>
      <c r="G218" s="8"/>
      <c r="H218" s="8"/>
      <c r="I218" s="8"/>
      <c r="J218" s="8"/>
      <c r="K218" s="8" t="e">
        <f>K217</f>
        <v>#REF!</v>
      </c>
    </row>
    <row r="219" spans="1:11" ht="12" hidden="1" customHeight="1" x14ac:dyDescent="0.2">
      <c r="A219" s="5" t="s">
        <v>16</v>
      </c>
      <c r="B219" s="6"/>
      <c r="C219" s="6"/>
      <c r="D219" s="6" t="s">
        <v>17</v>
      </c>
      <c r="E219" s="7" t="s">
        <v>18</v>
      </c>
      <c r="F219" s="8" t="s">
        <v>19</v>
      </c>
      <c r="G219" s="8"/>
      <c r="H219" s="8"/>
      <c r="I219" s="8"/>
      <c r="J219" s="8"/>
      <c r="K219" s="8" t="s">
        <v>19</v>
      </c>
    </row>
    <row r="220" spans="1:11" ht="12" hidden="1" customHeight="1" x14ac:dyDescent="0.2">
      <c r="A220" s="5">
        <v>9</v>
      </c>
      <c r="B220" s="6"/>
      <c r="C220" s="6"/>
      <c r="D220" s="6" t="e">
        <f>IF(F201=9,"nueve",0)</f>
        <v>#REF!</v>
      </c>
      <c r="E220" s="7" t="e">
        <f>IF(F201=9,9,0)</f>
        <v>#REF!</v>
      </c>
      <c r="F220" s="8"/>
      <c r="G220" s="8"/>
      <c r="H220" s="8"/>
      <c r="I220" s="8"/>
      <c r="J220" s="8"/>
      <c r="K220" s="8"/>
    </row>
    <row r="221" spans="1:11" ht="12" hidden="1" customHeight="1" x14ac:dyDescent="0.2">
      <c r="A221" s="5">
        <v>8</v>
      </c>
      <c r="B221" s="6"/>
      <c r="C221" s="6"/>
      <c r="D221" s="6" t="e">
        <f>IF(F201=8,"ocho",0)</f>
        <v>#REF!</v>
      </c>
      <c r="E221" s="7" t="e">
        <f>IF(F201=8,8,0)</f>
        <v>#REF!</v>
      </c>
      <c r="F221" s="8"/>
      <c r="G221" s="8"/>
      <c r="H221" s="8"/>
      <c r="I221" s="8"/>
      <c r="J221" s="8"/>
      <c r="K221" s="8"/>
    </row>
    <row r="222" spans="1:11" ht="12" hidden="1" customHeight="1" x14ac:dyDescent="0.2">
      <c r="A222" s="5">
        <v>7</v>
      </c>
      <c r="B222" s="6"/>
      <c r="C222" s="6"/>
      <c r="D222" s="6" t="e">
        <f>IF(F201=7,"siete",0)</f>
        <v>#REF!</v>
      </c>
      <c r="E222" s="7" t="e">
        <f>IF(F201=7,7,0)</f>
        <v>#REF!</v>
      </c>
      <c r="F222" s="8"/>
      <c r="G222" s="8"/>
      <c r="H222" s="8"/>
      <c r="I222" s="8"/>
      <c r="J222" s="8"/>
      <c r="K222" s="8"/>
    </row>
    <row r="223" spans="1:11" ht="12" hidden="1" customHeight="1" x14ac:dyDescent="0.2">
      <c r="A223" s="5">
        <v>6</v>
      </c>
      <c r="B223" s="6"/>
      <c r="C223" s="6"/>
      <c r="D223" s="6" t="e">
        <f>IF(F201=6,"seis",0)</f>
        <v>#REF!</v>
      </c>
      <c r="E223" s="7" t="e">
        <f>IF(F201=6,6,0)</f>
        <v>#REF!</v>
      </c>
      <c r="F223" s="8"/>
      <c r="G223" s="8"/>
      <c r="H223" s="8"/>
      <c r="I223" s="8"/>
      <c r="J223" s="8"/>
      <c r="K223" s="8"/>
    </row>
    <row r="224" spans="1:11" ht="12" hidden="1" customHeight="1" x14ac:dyDescent="0.2">
      <c r="A224" s="5">
        <v>5</v>
      </c>
      <c r="B224" s="6"/>
      <c r="C224" s="6"/>
      <c r="D224" s="6" t="e">
        <f>IF(F201=5,"cinco",0)</f>
        <v>#REF!</v>
      </c>
      <c r="E224" s="7" t="e">
        <f>IF(F201=5,5,0)</f>
        <v>#REF!</v>
      </c>
      <c r="F224" s="8"/>
      <c r="G224" s="8"/>
      <c r="H224" s="8"/>
      <c r="I224" s="8"/>
      <c r="J224" s="8"/>
      <c r="K224" s="8"/>
    </row>
    <row r="225" spans="1:11" ht="12" hidden="1" customHeight="1" x14ac:dyDescent="0.2">
      <c r="A225" s="5">
        <v>4</v>
      </c>
      <c r="B225" s="6"/>
      <c r="C225" s="6"/>
      <c r="D225" s="6" t="e">
        <f>IF(F201=4,"cuatro",0)</f>
        <v>#REF!</v>
      </c>
      <c r="E225" s="7" t="e">
        <f>IF(F201=4,4,0)</f>
        <v>#REF!</v>
      </c>
      <c r="F225" s="8"/>
      <c r="G225" s="8"/>
      <c r="H225" s="8"/>
      <c r="I225" s="8"/>
      <c r="J225" s="8"/>
      <c r="K225" s="8"/>
    </row>
    <row r="226" spans="1:11" ht="12" hidden="1" customHeight="1" x14ac:dyDescent="0.2">
      <c r="A226" s="5">
        <v>3</v>
      </c>
      <c r="B226" s="6"/>
      <c r="C226" s="6"/>
      <c r="D226" s="6" t="e">
        <f>IF(F201=3,"tres",0)</f>
        <v>#REF!</v>
      </c>
      <c r="E226" s="7" t="e">
        <f>IF(F201=3,3,0)</f>
        <v>#REF!</v>
      </c>
      <c r="F226" s="8"/>
      <c r="G226" s="8"/>
      <c r="H226" s="8"/>
      <c r="I226" s="8"/>
      <c r="J226" s="8"/>
      <c r="K226" s="8"/>
    </row>
    <row r="227" spans="1:11" ht="12" hidden="1" customHeight="1" x14ac:dyDescent="0.2">
      <c r="A227" s="5">
        <v>2</v>
      </c>
      <c r="B227" s="6"/>
      <c r="C227" s="6"/>
      <c r="D227" s="6" t="e">
        <f>IF(F201=2,"dos",0)</f>
        <v>#REF!</v>
      </c>
      <c r="E227" s="7" t="e">
        <f>IF(F201=2,2,0)</f>
        <v>#REF!</v>
      </c>
      <c r="F227" s="8"/>
      <c r="G227" s="8"/>
      <c r="H227" s="8"/>
      <c r="I227" s="8"/>
      <c r="J227" s="8"/>
      <c r="K227" s="8"/>
    </row>
    <row r="228" spans="1:11" ht="12" hidden="1" customHeight="1" x14ac:dyDescent="0.2">
      <c r="A228" s="9">
        <v>1</v>
      </c>
      <c r="B228" s="10"/>
      <c r="C228" s="10"/>
      <c r="D228" s="10" t="e">
        <f>IF(F201=1,"uno",0)</f>
        <v>#REF!</v>
      </c>
      <c r="E228" s="11" t="e">
        <f>IF(F201=1,1,0)</f>
        <v>#REF!</v>
      </c>
      <c r="F228" s="12"/>
      <c r="G228" s="12"/>
      <c r="H228" s="12"/>
      <c r="I228" s="12"/>
      <c r="J228" s="12"/>
      <c r="K228" s="12"/>
    </row>
    <row r="229" spans="1:11" ht="12" hidden="1" customHeight="1" x14ac:dyDescent="0.2">
      <c r="A229" s="5"/>
      <c r="B229" s="6" t="e">
        <f>IF(E229=9,D220,IF(E229=8,D221,IF(E229=7,D222,IF(E229=6,D223,IF(E229=5,D224,"")))))</f>
        <v>#REF!</v>
      </c>
      <c r="C229" s="6" t="e">
        <f>IF(E229=4,D225,IF(E229=3,D226,IF(E229=2,D227,IF(E229=1,D228,""))))</f>
        <v>#REF!</v>
      </c>
      <c r="D229" s="6" t="e">
        <f>IF(E229&gt;4,B229,IF(E229&lt;5,C229,))</f>
        <v>#REF!</v>
      </c>
      <c r="E229" s="7" t="e">
        <f>E220+E221+E222+E223+E224+E225+E226+E227+E228</f>
        <v>#REF!</v>
      </c>
      <c r="F229" s="8" t="e">
        <f>E229-E229</f>
        <v>#REF!</v>
      </c>
      <c r="G229" s="8"/>
      <c r="H229" s="8"/>
      <c r="I229" s="8"/>
      <c r="J229" s="8"/>
      <c r="K229" s="8" t="e">
        <f>#REF!-#REF!</f>
        <v>#REF!</v>
      </c>
    </row>
    <row r="230" spans="1:11" ht="12" customHeight="1" thickBot="1" x14ac:dyDescent="0.25">
      <c r="A230" s="50" t="e">
        <f>D42&amp;""&amp;D53&amp;""&amp;D65&amp;""&amp;D76&amp;""&amp;E105&amp;""&amp;D116&amp;""&amp;D128&amp;""&amp;D139&amp;""&amp;D150&amp;""&amp;D166&amp;""&amp;D178&amp;""&amp;D190&amp;""&amp;D201&amp;""&amp;E218&amp;".-"</f>
        <v>#REF!</v>
      </c>
      <c r="B230" s="51"/>
      <c r="C230" s="51"/>
      <c r="D230" s="51"/>
      <c r="E230" s="51"/>
      <c r="F230" s="52"/>
      <c r="G230" s="41"/>
      <c r="H230" s="41"/>
      <c r="I230" s="41"/>
      <c r="J230" s="41"/>
    </row>
    <row r="241" spans="2:2" x14ac:dyDescent="0.2">
      <c r="B241" s="18"/>
    </row>
  </sheetData>
  <mergeCells count="7">
    <mergeCell ref="A30:F30"/>
    <mergeCell ref="A230:F230"/>
    <mergeCell ref="A1:O1"/>
    <mergeCell ref="A2:O2"/>
    <mergeCell ref="A3:O3"/>
    <mergeCell ref="A16:D16"/>
    <mergeCell ref="A17:K23"/>
  </mergeCells>
  <pageMargins left="0.11811023622047245" right="0.11811023622047245" top="0.19685039370078741" bottom="0.59055118110236227" header="0" footer="0"/>
  <pageSetup paperSize="5" scale="6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C. DE JUBILACIONES 2026</vt:lpstr>
      <vt:lpstr>'C. DE JUBILACIONES 2026'!Área_de_impresión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2026-01-12T12:50:15Z</cp:lastPrinted>
  <dcterms:created xsi:type="dcterms:W3CDTF">2017-02-13T15:11:32Z</dcterms:created>
  <dcterms:modified xsi:type="dcterms:W3CDTF">2026-02-09T13:05:36Z</dcterms:modified>
</cp:coreProperties>
</file>